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827\Desktop\"/>
    </mc:Choice>
  </mc:AlternateContent>
  <workbookProtection workbookAlgorithmName="SHA-512" workbookHashValue="ShaAltq3aGhuVsDHjLe4cJoBpHt632eiqAU1TiE+2a47RILQEVy6MDDs99QrN1hGkOLHA8gJy/cS6qv9IvfVEA==" workbookSaltValue="7P5zDKHmbwvCIz/SQwzjdg==" workbookSpinCount="100000" lockStructure="1"/>
  <bookViews>
    <workbookView xWindow="0" yWindow="0" windowWidth="20490" windowHeight="7230"/>
  </bookViews>
  <sheets>
    <sheet name="概算シート" sheetId="3" r:id="rId1"/>
    <sheet name="税率" sheetId="2" state="hidden" r:id="rId2"/>
    <sheet name="軽減説明" sheetId="7" state="hidden" r:id="rId3"/>
    <sheet name="3以後給与・年金所得換算(基礎)" sheetId="4" state="hidden" r:id="rId4"/>
    <sheet name="3以後給与・年金所得換算 (軽減)" sheetId="5" state="hidden" r:id="rId5"/>
    <sheet name="介護2号判定" sheetId="6" state="hidden" r:id="rId6"/>
  </sheets>
  <definedNames>
    <definedName name="_xlnm.Print_Area" localSheetId="0">概算シート!$A$1:$U$35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6" l="1"/>
  <c r="C35" i="6"/>
  <c r="H85" i="6" l="1"/>
  <c r="I85" i="6"/>
  <c r="J85" i="6"/>
  <c r="K85" i="6"/>
  <c r="L85" i="6"/>
  <c r="M85" i="6"/>
  <c r="N85" i="6"/>
  <c r="O85" i="6"/>
  <c r="P85" i="6"/>
  <c r="Q85" i="6"/>
  <c r="R85" i="6"/>
  <c r="S85" i="6"/>
  <c r="C46" i="6"/>
  <c r="C47" i="6"/>
  <c r="C48" i="6"/>
  <c r="C49" i="6"/>
  <c r="C50" i="6"/>
  <c r="C51" i="6"/>
  <c r="C52" i="6"/>
  <c r="C33" i="6"/>
  <c r="C34" i="6" s="1"/>
  <c r="B60" i="2"/>
  <c r="B59" i="2"/>
  <c r="I37" i="6" l="1"/>
  <c r="Q37" i="6"/>
  <c r="N37" i="6"/>
  <c r="J37" i="6"/>
  <c r="R37" i="6"/>
  <c r="M37" i="6"/>
  <c r="O37" i="6"/>
  <c r="K37" i="6"/>
  <c r="S37" i="6"/>
  <c r="L37" i="6"/>
  <c r="H37" i="6"/>
  <c r="P37" i="6"/>
  <c r="T85" i="6"/>
  <c r="G4" i="3"/>
  <c r="H81" i="2" l="1"/>
  <c r="C71" i="2"/>
  <c r="D71" i="2"/>
  <c r="E71" i="2"/>
  <c r="F71" i="2"/>
  <c r="C72" i="2"/>
  <c r="D72" i="2"/>
  <c r="E72" i="2"/>
  <c r="F72" i="2"/>
  <c r="C73" i="2"/>
  <c r="D73" i="2"/>
  <c r="E73" i="2"/>
  <c r="F73" i="2"/>
  <c r="C74" i="2"/>
  <c r="D74" i="2"/>
  <c r="E74" i="2"/>
  <c r="F74" i="2"/>
  <c r="C75" i="2"/>
  <c r="D75" i="2"/>
  <c r="E75" i="2"/>
  <c r="F75" i="2"/>
  <c r="C76" i="2"/>
  <c r="D76" i="2"/>
  <c r="E76" i="2"/>
  <c r="F76" i="2"/>
  <c r="C77" i="2"/>
  <c r="D77" i="2"/>
  <c r="E77" i="2"/>
  <c r="F77" i="2"/>
  <c r="C78" i="2"/>
  <c r="D78" i="2"/>
  <c r="E78" i="2"/>
  <c r="F78" i="2"/>
  <c r="C79" i="2"/>
  <c r="D79" i="2"/>
  <c r="E79" i="2"/>
  <c r="F79" i="2"/>
  <c r="E70" i="2"/>
  <c r="F70" i="2"/>
  <c r="D70" i="2"/>
  <c r="C70" i="2"/>
  <c r="B70" i="2"/>
  <c r="H66" i="2" l="1"/>
  <c r="W6" i="3" l="1"/>
  <c r="C43" i="6" s="1"/>
  <c r="W7" i="3"/>
  <c r="C44" i="6" s="1"/>
  <c r="W8" i="3"/>
  <c r="C45" i="6" s="1"/>
  <c r="H70" i="2" l="1"/>
  <c r="H72" i="2"/>
  <c r="G72" i="2"/>
  <c r="G71" i="2"/>
  <c r="H71" i="2"/>
  <c r="G70" i="2"/>
  <c r="H57" i="2"/>
  <c r="O9" i="2"/>
  <c r="W9" i="3"/>
  <c r="W10" i="3"/>
  <c r="W11" i="3"/>
  <c r="W12" i="3"/>
  <c r="W13" i="3"/>
  <c r="W14" i="3"/>
  <c r="W15" i="3"/>
  <c r="I70" i="2" l="1"/>
  <c r="N6" i="3" s="1"/>
  <c r="I72" i="2"/>
  <c r="N8" i="3" s="1"/>
  <c r="H76" i="2"/>
  <c r="G76" i="2"/>
  <c r="H74" i="2"/>
  <c r="G74" i="2"/>
  <c r="H73" i="2"/>
  <c r="G73" i="2"/>
  <c r="G75" i="2"/>
  <c r="H75" i="2"/>
  <c r="H79" i="2"/>
  <c r="G79" i="2"/>
  <c r="H78" i="2"/>
  <c r="G78" i="2"/>
  <c r="H77" i="2"/>
  <c r="G77" i="2"/>
  <c r="I71" i="2"/>
  <c r="N7" i="3" s="1"/>
  <c r="F20" i="2"/>
  <c r="C34" i="3" s="1"/>
  <c r="I73" i="2" l="1"/>
  <c r="N9" i="3" s="1"/>
  <c r="E55" i="2"/>
  <c r="B11" i="2"/>
  <c r="O11" i="2" s="1"/>
  <c r="B13" i="2"/>
  <c r="C13" i="2" s="1"/>
  <c r="I75" i="2"/>
  <c r="N11" i="3" s="1"/>
  <c r="I77" i="2"/>
  <c r="N13" i="3" s="1"/>
  <c r="I78" i="2"/>
  <c r="N14" i="3" s="1"/>
  <c r="I74" i="2"/>
  <c r="N10" i="3" s="1"/>
  <c r="I79" i="2"/>
  <c r="N15" i="3" s="1"/>
  <c r="I76" i="2"/>
  <c r="N12" i="3" s="1"/>
  <c r="B12" i="2"/>
  <c r="B1" i="3"/>
  <c r="H4" i="2"/>
  <c r="H3" i="2"/>
  <c r="B43" i="2"/>
  <c r="B44" i="2"/>
  <c r="B45" i="2"/>
  <c r="B46" i="2"/>
  <c r="B47" i="2"/>
  <c r="B48" i="2"/>
  <c r="B49" i="2"/>
  <c r="B50" i="2"/>
  <c r="B51" i="2"/>
  <c r="G2" i="6"/>
  <c r="G18" i="6" s="1"/>
  <c r="B14" i="2" l="1"/>
  <c r="C14" i="2" s="1"/>
  <c r="E46" i="6" s="1"/>
  <c r="E45" i="6"/>
  <c r="C11" i="2"/>
  <c r="H63" i="2"/>
  <c r="O13" i="2"/>
  <c r="B18" i="2"/>
  <c r="C18" i="2" s="1"/>
  <c r="C49" i="2"/>
  <c r="BP12" i="5" s="1"/>
  <c r="BR12" i="5" s="1"/>
  <c r="B16" i="2"/>
  <c r="C16" i="2" s="1"/>
  <c r="O12" i="2"/>
  <c r="C12" i="2"/>
  <c r="B19" i="2"/>
  <c r="C19" i="2" s="1"/>
  <c r="B15" i="2"/>
  <c r="C15" i="2" s="1"/>
  <c r="B17" i="2"/>
  <c r="C17" i="2" s="1"/>
  <c r="B20" i="2"/>
  <c r="C20" i="2" s="1"/>
  <c r="C50" i="2"/>
  <c r="BP13" i="5" s="1"/>
  <c r="BR13" i="5" s="1"/>
  <c r="C45" i="2"/>
  <c r="BP8" i="5" s="1"/>
  <c r="BR8" i="5" s="1"/>
  <c r="C46" i="2"/>
  <c r="BP9" i="5" s="1"/>
  <c r="BR9" i="5" s="1"/>
  <c r="C44" i="2"/>
  <c r="BP7" i="5" s="1"/>
  <c r="C51" i="2"/>
  <c r="BP14" i="4" s="1"/>
  <c r="C43" i="2"/>
  <c r="BP6" i="5" s="1"/>
  <c r="C48" i="2"/>
  <c r="BP11" i="4" s="1"/>
  <c r="C47" i="2"/>
  <c r="BP10" i="4" s="1"/>
  <c r="G17" i="6"/>
  <c r="G21" i="6"/>
  <c r="G28" i="6"/>
  <c r="G20" i="6"/>
  <c r="G27" i="6"/>
  <c r="G23" i="6"/>
  <c r="G19" i="6"/>
  <c r="G25" i="6"/>
  <c r="G24" i="6"/>
  <c r="G26" i="6"/>
  <c r="G22" i="6"/>
  <c r="G15" i="6"/>
  <c r="G9" i="6"/>
  <c r="G6" i="6"/>
  <c r="G13" i="6"/>
  <c r="G14" i="6"/>
  <c r="G5" i="6"/>
  <c r="G10" i="6"/>
  <c r="G12" i="6"/>
  <c r="G8" i="6"/>
  <c r="G16" i="6"/>
  <c r="G11" i="6"/>
  <c r="G7" i="6"/>
  <c r="B2" i="6"/>
  <c r="O14" i="2" l="1"/>
  <c r="F46" i="6"/>
  <c r="E51" i="6"/>
  <c r="E52" i="6"/>
  <c r="E49" i="6"/>
  <c r="E47" i="6"/>
  <c r="E44" i="6"/>
  <c r="E43" i="6"/>
  <c r="E48" i="6"/>
  <c r="E50" i="6"/>
  <c r="BP12" i="4"/>
  <c r="O18" i="2"/>
  <c r="O16" i="2"/>
  <c r="O17" i="2"/>
  <c r="O20" i="2"/>
  <c r="O15" i="2"/>
  <c r="O19" i="2"/>
  <c r="BP13" i="4"/>
  <c r="BP8" i="4"/>
  <c r="BP11" i="5"/>
  <c r="BR11" i="5" s="1"/>
  <c r="BP9" i="4"/>
  <c r="BP6" i="4"/>
  <c r="BP7" i="4"/>
  <c r="BP10" i="5"/>
  <c r="BR10" i="5" s="1"/>
  <c r="BP14" i="5"/>
  <c r="BR14" i="5" s="1"/>
  <c r="E15" i="6"/>
  <c r="C27" i="6"/>
  <c r="C28" i="6"/>
  <c r="C29" i="6" s="1"/>
  <c r="C20" i="6"/>
  <c r="C25" i="6"/>
  <c r="C21" i="6"/>
  <c r="C9" i="6"/>
  <c r="C17" i="6"/>
  <c r="E22" i="6"/>
  <c r="C12" i="6"/>
  <c r="E6" i="6"/>
  <c r="E26" i="6"/>
  <c r="E18" i="6"/>
  <c r="C24" i="6"/>
  <c r="C5" i="6"/>
  <c r="E14" i="6"/>
  <c r="C18" i="6"/>
  <c r="E20" i="6"/>
  <c r="C23" i="6"/>
  <c r="C26" i="6"/>
  <c r="E28" i="6"/>
  <c r="C7" i="6"/>
  <c r="C10" i="6"/>
  <c r="E12" i="6"/>
  <c r="C15" i="6"/>
  <c r="C8" i="6"/>
  <c r="E10" i="6"/>
  <c r="C13" i="6"/>
  <c r="C16" i="6"/>
  <c r="C19" i="6"/>
  <c r="C22" i="6"/>
  <c r="E24" i="6"/>
  <c r="C6" i="6"/>
  <c r="E8" i="6"/>
  <c r="C11" i="6"/>
  <c r="C14" i="6"/>
  <c r="E16" i="6"/>
  <c r="E17" i="6"/>
  <c r="E19" i="6"/>
  <c r="E21" i="6"/>
  <c r="E23" i="6"/>
  <c r="E25" i="6"/>
  <c r="E27" i="6"/>
  <c r="E5" i="6"/>
  <c r="E7" i="6"/>
  <c r="E9" i="6"/>
  <c r="E11" i="6"/>
  <c r="E13" i="6"/>
  <c r="B14" i="5"/>
  <c r="G14" i="5" s="1"/>
  <c r="AK13" i="5"/>
  <c r="B13" i="5"/>
  <c r="N13" i="5" s="1"/>
  <c r="B12" i="5"/>
  <c r="K12" i="5" s="1"/>
  <c r="AK11" i="5"/>
  <c r="BD11" i="5"/>
  <c r="B11" i="5"/>
  <c r="N11" i="5" s="1"/>
  <c r="B10" i="5"/>
  <c r="F10" i="5" s="1"/>
  <c r="B9" i="5"/>
  <c r="N9" i="5" s="1"/>
  <c r="B8" i="5"/>
  <c r="I8" i="5" s="1"/>
  <c r="B7" i="5"/>
  <c r="N7" i="5" s="1"/>
  <c r="B6" i="5"/>
  <c r="M6" i="5" s="1"/>
  <c r="B5" i="5"/>
  <c r="N5" i="5" s="1"/>
  <c r="F45" i="6" l="1"/>
  <c r="H46" i="6"/>
  <c r="H59" i="6" s="1"/>
  <c r="P46" i="6"/>
  <c r="P59" i="6" s="1"/>
  <c r="I46" i="6"/>
  <c r="I59" i="6" s="1"/>
  <c r="Q46" i="6"/>
  <c r="Q59" i="6" s="1"/>
  <c r="J46" i="6"/>
  <c r="J59" i="6" s="1"/>
  <c r="R46" i="6"/>
  <c r="R59" i="6" s="1"/>
  <c r="K46" i="6"/>
  <c r="K59" i="6" s="1"/>
  <c r="S46" i="6"/>
  <c r="S59" i="6" s="1"/>
  <c r="L46" i="6"/>
  <c r="L59" i="6" s="1"/>
  <c r="M46" i="6"/>
  <c r="M59" i="6" s="1"/>
  <c r="N46" i="6"/>
  <c r="N59" i="6" s="1"/>
  <c r="O46" i="6"/>
  <c r="O59" i="6" s="1"/>
  <c r="F48" i="6"/>
  <c r="F51" i="6"/>
  <c r="F44" i="6"/>
  <c r="F50" i="6"/>
  <c r="F43" i="6"/>
  <c r="F47" i="6"/>
  <c r="F49" i="6"/>
  <c r="F52" i="6"/>
  <c r="G51" i="6"/>
  <c r="G49" i="6"/>
  <c r="G45" i="6"/>
  <c r="G50" i="6"/>
  <c r="G48" i="6"/>
  <c r="G52" i="6"/>
  <c r="G47" i="6"/>
  <c r="G46" i="6"/>
  <c r="G44" i="6"/>
  <c r="G43" i="6"/>
  <c r="O21" i="2"/>
  <c r="R16" i="2" s="1"/>
  <c r="C21" i="2"/>
  <c r="B34" i="3" s="1"/>
  <c r="H11" i="2"/>
  <c r="L11" i="2"/>
  <c r="L12" i="2" s="1"/>
  <c r="H13" i="5"/>
  <c r="E11" i="5"/>
  <c r="N10" i="5"/>
  <c r="M11" i="5"/>
  <c r="G10" i="5"/>
  <c r="C11" i="5"/>
  <c r="I9" i="5"/>
  <c r="I7" i="5"/>
  <c r="N8" i="5"/>
  <c r="N6" i="5"/>
  <c r="C12" i="5"/>
  <c r="BQ12" i="5" s="1"/>
  <c r="K13" i="5"/>
  <c r="K5" i="5"/>
  <c r="F6" i="5"/>
  <c r="H11" i="5"/>
  <c r="G12" i="5"/>
  <c r="C13" i="5"/>
  <c r="M13" i="5"/>
  <c r="E6" i="5"/>
  <c r="I6" i="5"/>
  <c r="D7" i="5"/>
  <c r="D9" i="5"/>
  <c r="C10" i="5"/>
  <c r="K11" i="5"/>
  <c r="N12" i="5"/>
  <c r="E13" i="5"/>
  <c r="K14" i="5"/>
  <c r="E7" i="5"/>
  <c r="K7" i="5"/>
  <c r="E9" i="5"/>
  <c r="K9" i="5"/>
  <c r="K10" i="5"/>
  <c r="G11" i="5"/>
  <c r="L11" i="5"/>
  <c r="F12" i="5"/>
  <c r="D13" i="5"/>
  <c r="I13" i="5"/>
  <c r="C14" i="5"/>
  <c r="BQ14" i="5" s="1"/>
  <c r="N14" i="5"/>
  <c r="G9" i="5"/>
  <c r="G7" i="5"/>
  <c r="L7" i="5"/>
  <c r="L9" i="5"/>
  <c r="F14" i="5"/>
  <c r="H7" i="5"/>
  <c r="M7" i="5"/>
  <c r="F8" i="5"/>
  <c r="C9" i="5"/>
  <c r="BQ9" i="5" s="1"/>
  <c r="H9" i="5"/>
  <c r="M9" i="5"/>
  <c r="D11" i="5"/>
  <c r="I11" i="5"/>
  <c r="G13" i="5"/>
  <c r="L13" i="5"/>
  <c r="G5" i="5"/>
  <c r="AQ13" i="5"/>
  <c r="AQ11" i="5"/>
  <c r="AZ13" i="5"/>
  <c r="X11" i="5"/>
  <c r="AZ11" i="5"/>
  <c r="AG13" i="5"/>
  <c r="BD13" i="5"/>
  <c r="X13" i="5"/>
  <c r="AG11" i="5"/>
  <c r="D5" i="5"/>
  <c r="H5" i="5"/>
  <c r="L5" i="5"/>
  <c r="L6" i="5"/>
  <c r="H6" i="5"/>
  <c r="D6" i="5"/>
  <c r="K6" i="5"/>
  <c r="G6" i="5"/>
  <c r="J6" i="5"/>
  <c r="E5" i="5"/>
  <c r="I5" i="5"/>
  <c r="M5" i="5"/>
  <c r="L8" i="5"/>
  <c r="H8" i="5"/>
  <c r="D8" i="5"/>
  <c r="K8" i="5"/>
  <c r="G8" i="5"/>
  <c r="C8" i="5"/>
  <c r="BQ8" i="5" s="1"/>
  <c r="J8" i="5"/>
  <c r="F5" i="5"/>
  <c r="J5" i="5"/>
  <c r="E8" i="5"/>
  <c r="M8" i="5"/>
  <c r="AA11" i="5"/>
  <c r="AT11" i="5"/>
  <c r="AA13" i="5"/>
  <c r="AT13" i="5"/>
  <c r="BG11" i="5"/>
  <c r="BC11" i="5"/>
  <c r="AX11" i="5"/>
  <c r="AS11" i="5"/>
  <c r="AJ11" i="5"/>
  <c r="AE11" i="5"/>
  <c r="Z11" i="5"/>
  <c r="BF11" i="5"/>
  <c r="BA11" i="5"/>
  <c r="AW11" i="5"/>
  <c r="AR11" i="5"/>
  <c r="AM11" i="5"/>
  <c r="AI11" i="5"/>
  <c r="AD11" i="5"/>
  <c r="Y11" i="5"/>
  <c r="AC11" i="5"/>
  <c r="AL11" i="5"/>
  <c r="AU11" i="5"/>
  <c r="BE11" i="5"/>
  <c r="BG13" i="5"/>
  <c r="BC13" i="5"/>
  <c r="AX13" i="5"/>
  <c r="AS13" i="5"/>
  <c r="AJ13" i="5"/>
  <c r="AE13" i="5"/>
  <c r="Z13" i="5"/>
  <c r="BF13" i="5"/>
  <c r="BA13" i="5"/>
  <c r="AW13" i="5"/>
  <c r="AR13" i="5"/>
  <c r="AM13" i="5"/>
  <c r="AI13" i="5"/>
  <c r="AD13" i="5"/>
  <c r="Y13" i="5"/>
  <c r="AC13" i="5"/>
  <c r="AL13" i="5"/>
  <c r="AU13" i="5"/>
  <c r="BE13" i="5"/>
  <c r="F7" i="5"/>
  <c r="J7" i="5"/>
  <c r="F9" i="5"/>
  <c r="J9" i="5"/>
  <c r="M10" i="5"/>
  <c r="I10" i="5"/>
  <c r="E10" i="5"/>
  <c r="L10" i="5"/>
  <c r="H10" i="5"/>
  <c r="D10" i="5"/>
  <c r="J10" i="5"/>
  <c r="W11" i="5"/>
  <c r="AF11" i="5"/>
  <c r="AY11" i="5"/>
  <c r="M12" i="5"/>
  <c r="I12" i="5"/>
  <c r="E12" i="5"/>
  <c r="L12" i="5"/>
  <c r="H12" i="5"/>
  <c r="D12" i="5"/>
  <c r="J12" i="5"/>
  <c r="W13" i="5"/>
  <c r="AF13" i="5"/>
  <c r="AY13" i="5"/>
  <c r="M14" i="5"/>
  <c r="I14" i="5"/>
  <c r="E14" i="5"/>
  <c r="L14" i="5"/>
  <c r="H14" i="5"/>
  <c r="D14" i="5"/>
  <c r="J14" i="5"/>
  <c r="F11" i="5"/>
  <c r="J11" i="5"/>
  <c r="F13" i="5"/>
  <c r="J13" i="5"/>
  <c r="B42" i="2"/>
  <c r="C42" i="2" s="1"/>
  <c r="R6" i="4"/>
  <c r="R7" i="4"/>
  <c r="R8" i="4"/>
  <c r="R9" i="4"/>
  <c r="R10" i="4"/>
  <c r="R11" i="4"/>
  <c r="R12" i="4"/>
  <c r="R13" i="4"/>
  <c r="R14" i="4"/>
  <c r="R5" i="4"/>
  <c r="B6" i="4"/>
  <c r="B7" i="4"/>
  <c r="B8" i="4"/>
  <c r="F8" i="4" s="1"/>
  <c r="B9" i="4"/>
  <c r="G9" i="4" s="1"/>
  <c r="B10" i="4"/>
  <c r="H10" i="4" s="1"/>
  <c r="B11" i="4"/>
  <c r="E11" i="4" s="1"/>
  <c r="B12" i="4"/>
  <c r="I12" i="4" s="1"/>
  <c r="B13" i="4"/>
  <c r="G13" i="4" s="1"/>
  <c r="B14" i="4"/>
  <c r="E14" i="4" s="1"/>
  <c r="B5" i="4"/>
  <c r="K43" i="6" l="1"/>
  <c r="L45" i="6"/>
  <c r="L58" i="6" s="1"/>
  <c r="P45" i="6"/>
  <c r="H45" i="6"/>
  <c r="H58" i="6" s="1"/>
  <c r="O45" i="6"/>
  <c r="O58" i="6" s="1"/>
  <c r="J45" i="6"/>
  <c r="J58" i="6" s="1"/>
  <c r="S45" i="6"/>
  <c r="R45" i="6"/>
  <c r="K45" i="6"/>
  <c r="K58" i="6" s="1"/>
  <c r="N45" i="6"/>
  <c r="N58" i="6" s="1"/>
  <c r="Q45" i="6"/>
  <c r="M45" i="6"/>
  <c r="M58" i="6" s="1"/>
  <c r="I45" i="6"/>
  <c r="I58" i="6" s="1"/>
  <c r="H44" i="6"/>
  <c r="P44" i="6"/>
  <c r="I44" i="6"/>
  <c r="Q44" i="6"/>
  <c r="J44" i="6"/>
  <c r="R44" i="6"/>
  <c r="K44" i="6"/>
  <c r="S44" i="6"/>
  <c r="L44" i="6"/>
  <c r="N44" i="6"/>
  <c r="M44" i="6"/>
  <c r="O44" i="6"/>
  <c r="L51" i="6"/>
  <c r="L64" i="6" s="1"/>
  <c r="M51" i="6"/>
  <c r="M64" i="6" s="1"/>
  <c r="N51" i="6"/>
  <c r="N64" i="6" s="1"/>
  <c r="P51" i="6"/>
  <c r="P64" i="6" s="1"/>
  <c r="I51" i="6"/>
  <c r="I64" i="6" s="1"/>
  <c r="O51" i="6"/>
  <c r="O64" i="6" s="1"/>
  <c r="H51" i="6"/>
  <c r="H64" i="6" s="1"/>
  <c r="Q51" i="6"/>
  <c r="Q64" i="6" s="1"/>
  <c r="R51" i="6"/>
  <c r="R64" i="6" s="1"/>
  <c r="J51" i="6"/>
  <c r="J64" i="6" s="1"/>
  <c r="K51" i="6"/>
  <c r="K64" i="6" s="1"/>
  <c r="S51" i="6"/>
  <c r="S64" i="6" s="1"/>
  <c r="H50" i="6"/>
  <c r="H63" i="6" s="1"/>
  <c r="P50" i="6"/>
  <c r="P63" i="6" s="1"/>
  <c r="I50" i="6"/>
  <c r="I63" i="6" s="1"/>
  <c r="Q50" i="6"/>
  <c r="Q63" i="6" s="1"/>
  <c r="J50" i="6"/>
  <c r="J63" i="6" s="1"/>
  <c r="R50" i="6"/>
  <c r="R63" i="6" s="1"/>
  <c r="K50" i="6"/>
  <c r="K63" i="6" s="1"/>
  <c r="S50" i="6"/>
  <c r="S63" i="6" s="1"/>
  <c r="L50" i="6"/>
  <c r="L63" i="6" s="1"/>
  <c r="N50" i="6"/>
  <c r="N63" i="6" s="1"/>
  <c r="M50" i="6"/>
  <c r="M63" i="6" s="1"/>
  <c r="O50" i="6"/>
  <c r="O63" i="6" s="1"/>
  <c r="H48" i="6"/>
  <c r="H61" i="6" s="1"/>
  <c r="P48" i="6"/>
  <c r="P61" i="6" s="1"/>
  <c r="I48" i="6"/>
  <c r="I61" i="6" s="1"/>
  <c r="Q48" i="6"/>
  <c r="Q61" i="6" s="1"/>
  <c r="J48" i="6"/>
  <c r="J61" i="6" s="1"/>
  <c r="R48" i="6"/>
  <c r="R61" i="6" s="1"/>
  <c r="K48" i="6"/>
  <c r="K61" i="6" s="1"/>
  <c r="S48" i="6"/>
  <c r="S61" i="6" s="1"/>
  <c r="N48" i="6"/>
  <c r="N61" i="6" s="1"/>
  <c r="L48" i="6"/>
  <c r="L61" i="6" s="1"/>
  <c r="M48" i="6"/>
  <c r="M61" i="6" s="1"/>
  <c r="O48" i="6"/>
  <c r="O61" i="6" s="1"/>
  <c r="H52" i="6"/>
  <c r="H65" i="6" s="1"/>
  <c r="P52" i="6"/>
  <c r="P65" i="6" s="1"/>
  <c r="I52" i="6"/>
  <c r="I65" i="6" s="1"/>
  <c r="Q52" i="6"/>
  <c r="Q65" i="6" s="1"/>
  <c r="J52" i="6"/>
  <c r="J65" i="6" s="1"/>
  <c r="R52" i="6"/>
  <c r="R65" i="6" s="1"/>
  <c r="K52" i="6"/>
  <c r="K65" i="6" s="1"/>
  <c r="S52" i="6"/>
  <c r="S65" i="6" s="1"/>
  <c r="L52" i="6"/>
  <c r="L65" i="6" s="1"/>
  <c r="M52" i="6"/>
  <c r="M65" i="6" s="1"/>
  <c r="N52" i="6"/>
  <c r="N65" i="6" s="1"/>
  <c r="O52" i="6"/>
  <c r="O65" i="6" s="1"/>
  <c r="L49" i="6"/>
  <c r="L62" i="6" s="1"/>
  <c r="M49" i="6"/>
  <c r="M62" i="6" s="1"/>
  <c r="N49" i="6"/>
  <c r="N62" i="6" s="1"/>
  <c r="P49" i="6"/>
  <c r="P62" i="6" s="1"/>
  <c r="R49" i="6"/>
  <c r="R62" i="6" s="1"/>
  <c r="O49" i="6"/>
  <c r="O62" i="6" s="1"/>
  <c r="H49" i="6"/>
  <c r="H62" i="6" s="1"/>
  <c r="I49" i="6"/>
  <c r="I62" i="6" s="1"/>
  <c r="Q49" i="6"/>
  <c r="Q62" i="6" s="1"/>
  <c r="J49" i="6"/>
  <c r="J62" i="6" s="1"/>
  <c r="K49" i="6"/>
  <c r="K62" i="6" s="1"/>
  <c r="S49" i="6"/>
  <c r="S62" i="6" s="1"/>
  <c r="L47" i="6"/>
  <c r="L60" i="6" s="1"/>
  <c r="M47" i="6"/>
  <c r="M60" i="6" s="1"/>
  <c r="N47" i="6"/>
  <c r="N60" i="6" s="1"/>
  <c r="R47" i="6"/>
  <c r="R60" i="6" s="1"/>
  <c r="O47" i="6"/>
  <c r="O60" i="6" s="1"/>
  <c r="H47" i="6"/>
  <c r="H60" i="6" s="1"/>
  <c r="P47" i="6"/>
  <c r="P60" i="6" s="1"/>
  <c r="J47" i="6"/>
  <c r="J60" i="6" s="1"/>
  <c r="I47" i="6"/>
  <c r="I60" i="6" s="1"/>
  <c r="Q47" i="6"/>
  <c r="Q60" i="6" s="1"/>
  <c r="K47" i="6"/>
  <c r="K60" i="6" s="1"/>
  <c r="S47" i="6"/>
  <c r="S60" i="6" s="1"/>
  <c r="H43" i="6"/>
  <c r="O43" i="6"/>
  <c r="P43" i="6"/>
  <c r="I43" i="6"/>
  <c r="Q43" i="6"/>
  <c r="J43" i="6"/>
  <c r="R43" i="6"/>
  <c r="S43" i="6"/>
  <c r="L43" i="6"/>
  <c r="M43" i="6"/>
  <c r="N43" i="6"/>
  <c r="H12" i="2"/>
  <c r="R10" i="2"/>
  <c r="BP5" i="4"/>
  <c r="BP5" i="5"/>
  <c r="BK13" i="5"/>
  <c r="BQ13" i="5"/>
  <c r="BK10" i="5"/>
  <c r="BQ10" i="5"/>
  <c r="BK11" i="5"/>
  <c r="BQ11" i="5"/>
  <c r="M14" i="4"/>
  <c r="BK12" i="5"/>
  <c r="D14" i="4"/>
  <c r="O13" i="5"/>
  <c r="J13" i="4"/>
  <c r="O6" i="5"/>
  <c r="C6" i="5" s="1"/>
  <c r="L10" i="4"/>
  <c r="J14" i="4"/>
  <c r="K13" i="4"/>
  <c r="BK14" i="5"/>
  <c r="I14" i="4"/>
  <c r="N14" i="4"/>
  <c r="F14" i="4"/>
  <c r="M12" i="4"/>
  <c r="N8" i="4"/>
  <c r="O9" i="5"/>
  <c r="BK9" i="5"/>
  <c r="M11" i="4"/>
  <c r="E10" i="4"/>
  <c r="I10" i="4"/>
  <c r="M10" i="4"/>
  <c r="F10" i="4"/>
  <c r="J10" i="4"/>
  <c r="N10" i="4"/>
  <c r="G10" i="4"/>
  <c r="K10" i="4"/>
  <c r="L14" i="4"/>
  <c r="H14" i="4"/>
  <c r="N13" i="4"/>
  <c r="J12" i="4"/>
  <c r="I11" i="4"/>
  <c r="D10" i="4"/>
  <c r="J8" i="4"/>
  <c r="D13" i="4"/>
  <c r="H13" i="4"/>
  <c r="L13" i="4"/>
  <c r="E13" i="4"/>
  <c r="I13" i="4"/>
  <c r="D9" i="4"/>
  <c r="H9" i="4"/>
  <c r="L9" i="4"/>
  <c r="E9" i="4"/>
  <c r="I9" i="4"/>
  <c r="M9" i="4"/>
  <c r="F9" i="4"/>
  <c r="J9" i="4"/>
  <c r="N9" i="4"/>
  <c r="K14" i="4"/>
  <c r="G14" i="4"/>
  <c r="M13" i="4"/>
  <c r="F13" i="4"/>
  <c r="K9" i="4"/>
  <c r="F11" i="4"/>
  <c r="J11" i="4"/>
  <c r="N11" i="4"/>
  <c r="G11" i="4"/>
  <c r="K11" i="4"/>
  <c r="D11" i="4"/>
  <c r="H11" i="4"/>
  <c r="L11" i="4"/>
  <c r="G12" i="4"/>
  <c r="K12" i="4"/>
  <c r="D12" i="4"/>
  <c r="H12" i="4"/>
  <c r="L12" i="4"/>
  <c r="E12" i="4"/>
  <c r="G8" i="4"/>
  <c r="K8" i="4"/>
  <c r="D8" i="4"/>
  <c r="H8" i="4"/>
  <c r="L8" i="4"/>
  <c r="E8" i="4"/>
  <c r="I8" i="4"/>
  <c r="M8" i="4"/>
  <c r="N12" i="4"/>
  <c r="F12" i="4"/>
  <c r="O11" i="5"/>
  <c r="O7" i="5"/>
  <c r="C7" i="5" s="1"/>
  <c r="O12" i="5"/>
  <c r="BH13" i="5"/>
  <c r="BH11" i="5"/>
  <c r="O14" i="5"/>
  <c r="AN11" i="5"/>
  <c r="BF7" i="5"/>
  <c r="BA7" i="5"/>
  <c r="AW7" i="5"/>
  <c r="AR7" i="5"/>
  <c r="AM7" i="5"/>
  <c r="AI7" i="5"/>
  <c r="AD7" i="5"/>
  <c r="Y7" i="5"/>
  <c r="BE7" i="5"/>
  <c r="AZ7" i="5"/>
  <c r="AU7" i="5"/>
  <c r="AQ7" i="5"/>
  <c r="AL7" i="5"/>
  <c r="AG7" i="5"/>
  <c r="AC7" i="5"/>
  <c r="X7" i="5"/>
  <c r="BD7" i="5"/>
  <c r="AT7" i="5"/>
  <c r="AK7" i="5"/>
  <c r="AA7" i="5"/>
  <c r="BC7" i="5"/>
  <c r="AS7" i="5"/>
  <c r="AJ7" i="5"/>
  <c r="Z7" i="5"/>
  <c r="BG7" i="5"/>
  <c r="AY7" i="5"/>
  <c r="AF7" i="5"/>
  <c r="W7" i="5"/>
  <c r="AX7" i="5"/>
  <c r="AE7" i="5"/>
  <c r="O5" i="5"/>
  <c r="C5" i="5" s="1"/>
  <c r="BG9" i="5"/>
  <c r="BC9" i="5"/>
  <c r="AX9" i="5"/>
  <c r="AS9" i="5"/>
  <c r="BF9" i="5"/>
  <c r="BA9" i="5"/>
  <c r="AY9" i="5"/>
  <c r="AR9" i="5"/>
  <c r="AM9" i="5"/>
  <c r="AI9" i="5"/>
  <c r="AD9" i="5"/>
  <c r="Y9" i="5"/>
  <c r="BE9" i="5"/>
  <c r="AW9" i="5"/>
  <c r="AQ9" i="5"/>
  <c r="AL9" i="5"/>
  <c r="AG9" i="5"/>
  <c r="AC9" i="5"/>
  <c r="X9" i="5"/>
  <c r="BD9" i="5"/>
  <c r="AU9" i="5"/>
  <c r="AK9" i="5"/>
  <c r="AF9" i="5"/>
  <c r="Z9" i="5"/>
  <c r="AJ9" i="5"/>
  <c r="W9" i="5"/>
  <c r="AZ9" i="5"/>
  <c r="AE9" i="5"/>
  <c r="AT9" i="5"/>
  <c r="AA9" i="5"/>
  <c r="AN13" i="5"/>
  <c r="BE12" i="5"/>
  <c r="AZ12" i="5"/>
  <c r="AU12" i="5"/>
  <c r="AQ12" i="5"/>
  <c r="AL12" i="5"/>
  <c r="AG12" i="5"/>
  <c r="AC12" i="5"/>
  <c r="X12" i="5"/>
  <c r="BD12" i="5"/>
  <c r="AY12" i="5"/>
  <c r="AT12" i="5"/>
  <c r="AK12" i="5"/>
  <c r="AF12" i="5"/>
  <c r="AA12" i="5"/>
  <c r="W12" i="5"/>
  <c r="BC12" i="5"/>
  <c r="AS12" i="5"/>
  <c r="AJ12" i="5"/>
  <c r="Z12" i="5"/>
  <c r="BA12" i="5"/>
  <c r="AR12" i="5"/>
  <c r="AI12" i="5"/>
  <c r="Y12" i="5"/>
  <c r="BG12" i="5"/>
  <c r="AX12" i="5"/>
  <c r="AE12" i="5"/>
  <c r="AD12" i="5"/>
  <c r="BF12" i="5"/>
  <c r="AW12" i="5"/>
  <c r="AM12" i="5"/>
  <c r="BE14" i="5"/>
  <c r="AZ14" i="5"/>
  <c r="AU14" i="5"/>
  <c r="AQ14" i="5"/>
  <c r="AL14" i="5"/>
  <c r="AG14" i="5"/>
  <c r="AC14" i="5"/>
  <c r="X14" i="5"/>
  <c r="BD14" i="5"/>
  <c r="AY14" i="5"/>
  <c r="AT14" i="5"/>
  <c r="AK14" i="5"/>
  <c r="AF14" i="5"/>
  <c r="AA14" i="5"/>
  <c r="W14" i="5"/>
  <c r="BC14" i="5"/>
  <c r="AS14" i="5"/>
  <c r="AJ14" i="5"/>
  <c r="Z14" i="5"/>
  <c r="BA14" i="5"/>
  <c r="AR14" i="5"/>
  <c r="AI14" i="5"/>
  <c r="Y14" i="5"/>
  <c r="BG14" i="5"/>
  <c r="AX14" i="5"/>
  <c r="AE14" i="5"/>
  <c r="AW14" i="5"/>
  <c r="AM14" i="5"/>
  <c r="AD14" i="5"/>
  <c r="BF14" i="5"/>
  <c r="BE10" i="5"/>
  <c r="AZ10" i="5"/>
  <c r="AU10" i="5"/>
  <c r="AQ10" i="5"/>
  <c r="AL10" i="5"/>
  <c r="AG10" i="5"/>
  <c r="AC10" i="5"/>
  <c r="X10" i="5"/>
  <c r="BD10" i="5"/>
  <c r="AY10" i="5"/>
  <c r="AT10" i="5"/>
  <c r="AK10" i="5"/>
  <c r="AF10" i="5"/>
  <c r="AA10" i="5"/>
  <c r="W10" i="5"/>
  <c r="BC10" i="5"/>
  <c r="AS10" i="5"/>
  <c r="AJ10" i="5"/>
  <c r="Z10" i="5"/>
  <c r="BA10" i="5"/>
  <c r="AR10" i="5"/>
  <c r="AI10" i="5"/>
  <c r="Y10" i="5"/>
  <c r="BG10" i="5"/>
  <c r="AX10" i="5"/>
  <c r="AE10" i="5"/>
  <c r="AW10" i="5"/>
  <c r="AM10" i="5"/>
  <c r="AD10" i="5"/>
  <c r="BF10" i="5"/>
  <c r="BK8" i="5"/>
  <c r="O10" i="5"/>
  <c r="O8" i="5"/>
  <c r="AO7" i="4"/>
  <c r="AO9" i="4"/>
  <c r="U11" i="4"/>
  <c r="BR11" i="4" s="1"/>
  <c r="L7" i="4"/>
  <c r="C12" i="4"/>
  <c r="L5" i="4"/>
  <c r="AO10" i="4"/>
  <c r="AO12" i="4"/>
  <c r="AO14" i="4"/>
  <c r="U10" i="4"/>
  <c r="BR10" i="4" s="1"/>
  <c r="U12" i="4"/>
  <c r="BR12" i="4" s="1"/>
  <c r="U14" i="4"/>
  <c r="BR14" i="4" s="1"/>
  <c r="C10" i="4"/>
  <c r="C14" i="4"/>
  <c r="AO8" i="4"/>
  <c r="U8" i="4"/>
  <c r="BR8" i="4" s="1"/>
  <c r="E7" i="4"/>
  <c r="N6" i="4"/>
  <c r="M6" i="4"/>
  <c r="L6" i="4"/>
  <c r="K6" i="4"/>
  <c r="J6" i="4"/>
  <c r="I6" i="4"/>
  <c r="H6" i="4"/>
  <c r="G6" i="4"/>
  <c r="F6" i="4"/>
  <c r="E6" i="4"/>
  <c r="D6" i="4"/>
  <c r="K69" i="6" l="1"/>
  <c r="K70" i="6" s="1"/>
  <c r="L69" i="6"/>
  <c r="J69" i="6"/>
  <c r="M69" i="6"/>
  <c r="S69" i="6"/>
  <c r="R69" i="6"/>
  <c r="Q69" i="6"/>
  <c r="N69" i="6"/>
  <c r="I69" i="6"/>
  <c r="P69" i="6"/>
  <c r="O69" i="6"/>
  <c r="H69" i="6"/>
  <c r="H71" i="6" s="1"/>
  <c r="BK7" i="5"/>
  <c r="BK6" i="5"/>
  <c r="J11" i="3"/>
  <c r="D47" i="2"/>
  <c r="J13" i="3"/>
  <c r="D49" i="2"/>
  <c r="J12" i="3"/>
  <c r="D48" i="2"/>
  <c r="J9" i="3"/>
  <c r="D45" i="2"/>
  <c r="J15" i="3"/>
  <c r="D51" i="2"/>
  <c r="BK14" i="4"/>
  <c r="BL14" i="4" s="1"/>
  <c r="BQ14" i="4" s="1"/>
  <c r="E51" i="2" s="1"/>
  <c r="BM14" i="4"/>
  <c r="BN14" i="4" s="1"/>
  <c r="BK10" i="4"/>
  <c r="BL10" i="4" s="1"/>
  <c r="BQ10" i="4" s="1"/>
  <c r="E47" i="2" s="1"/>
  <c r="BM10" i="4"/>
  <c r="BN10" i="4" s="1"/>
  <c r="BK12" i="4"/>
  <c r="BL12" i="4" s="1"/>
  <c r="BQ12" i="4" s="1"/>
  <c r="E49" i="2" s="1"/>
  <c r="BM12" i="4"/>
  <c r="BN12" i="4" s="1"/>
  <c r="BH14" i="5"/>
  <c r="BH10" i="5"/>
  <c r="BH12" i="5"/>
  <c r="BH9" i="5"/>
  <c r="BD8" i="5"/>
  <c r="AY8" i="5"/>
  <c r="AT8" i="5"/>
  <c r="AK8" i="5"/>
  <c r="AF8" i="5"/>
  <c r="AA8" i="5"/>
  <c r="W8" i="5"/>
  <c r="BG8" i="5"/>
  <c r="BC8" i="5"/>
  <c r="AX8" i="5"/>
  <c r="AS8" i="5"/>
  <c r="AJ8" i="5"/>
  <c r="AE8" i="5"/>
  <c r="Z8" i="5"/>
  <c r="BE8" i="5"/>
  <c r="AU8" i="5"/>
  <c r="AL8" i="5"/>
  <c r="AC8" i="5"/>
  <c r="BA8" i="5"/>
  <c r="AR8" i="5"/>
  <c r="AI8" i="5"/>
  <c r="Y8" i="5"/>
  <c r="BF8" i="5"/>
  <c r="AW8" i="5"/>
  <c r="AD8" i="5"/>
  <c r="AZ8" i="5"/>
  <c r="AQ8" i="5"/>
  <c r="AG8" i="5"/>
  <c r="X8" i="5"/>
  <c r="AM8" i="5"/>
  <c r="AN10" i="5"/>
  <c r="AN12" i="5"/>
  <c r="AN9" i="5"/>
  <c r="AN7" i="5"/>
  <c r="BH7" i="5"/>
  <c r="BD6" i="5"/>
  <c r="AY6" i="5"/>
  <c r="AT6" i="5"/>
  <c r="AK6" i="5"/>
  <c r="AF6" i="5"/>
  <c r="AA6" i="5"/>
  <c r="W6" i="5"/>
  <c r="BG6" i="5"/>
  <c r="BC6" i="5"/>
  <c r="AX6" i="5"/>
  <c r="AS6" i="5"/>
  <c r="AJ6" i="5"/>
  <c r="AE6" i="5"/>
  <c r="Z6" i="5"/>
  <c r="BF6" i="5"/>
  <c r="AW6" i="5"/>
  <c r="AM6" i="5"/>
  <c r="AD6" i="5"/>
  <c r="AZ6" i="5"/>
  <c r="X6" i="5"/>
  <c r="BE6" i="5"/>
  <c r="AU6" i="5"/>
  <c r="AL6" i="5"/>
  <c r="AC6" i="5"/>
  <c r="AQ6" i="5"/>
  <c r="BA6" i="5"/>
  <c r="AR6" i="5"/>
  <c r="AI6" i="5"/>
  <c r="Y6" i="5"/>
  <c r="AG6" i="5"/>
  <c r="AN14" i="5"/>
  <c r="BK5" i="5"/>
  <c r="S14" i="4"/>
  <c r="T14" i="4" s="1"/>
  <c r="S12" i="4"/>
  <c r="T12" i="4" s="1"/>
  <c r="S10" i="4"/>
  <c r="T10" i="4" s="1"/>
  <c r="M7" i="4"/>
  <c r="F7" i="4"/>
  <c r="N7" i="4"/>
  <c r="I7" i="4"/>
  <c r="J7" i="4"/>
  <c r="G7" i="4"/>
  <c r="K7" i="4"/>
  <c r="C11" i="4"/>
  <c r="D7" i="4"/>
  <c r="H7" i="4"/>
  <c r="C8" i="4"/>
  <c r="U13" i="4"/>
  <c r="AO11" i="4"/>
  <c r="E5" i="4"/>
  <c r="M5" i="4"/>
  <c r="F5" i="4"/>
  <c r="J5" i="4"/>
  <c r="G5" i="4"/>
  <c r="K5" i="4"/>
  <c r="I5" i="4"/>
  <c r="N5" i="4"/>
  <c r="D5" i="4"/>
  <c r="H5" i="4"/>
  <c r="U7" i="4"/>
  <c r="U9" i="4"/>
  <c r="AO13" i="4"/>
  <c r="C13" i="4"/>
  <c r="C9" i="4"/>
  <c r="O14" i="4"/>
  <c r="O10" i="4"/>
  <c r="O6" i="4"/>
  <c r="C6" i="4" s="1"/>
  <c r="L18" i="2"/>
  <c r="H18" i="2"/>
  <c r="H51" i="2" l="1"/>
  <c r="H47" i="2"/>
  <c r="H49" i="2"/>
  <c r="K71" i="6"/>
  <c r="P70" i="6"/>
  <c r="P71" i="6"/>
  <c r="I70" i="6"/>
  <c r="I71" i="6"/>
  <c r="N70" i="6"/>
  <c r="N71" i="6"/>
  <c r="M70" i="6"/>
  <c r="M71" i="6"/>
  <c r="J70" i="6"/>
  <c r="J71" i="6"/>
  <c r="Q70" i="6"/>
  <c r="Q71" i="6"/>
  <c r="L70" i="6"/>
  <c r="L71" i="6"/>
  <c r="S70" i="6"/>
  <c r="S71" i="6"/>
  <c r="O70" i="6"/>
  <c r="O71" i="6"/>
  <c r="R70" i="6"/>
  <c r="R71" i="6"/>
  <c r="H70" i="6"/>
  <c r="AO14" i="5"/>
  <c r="BM14" i="5" s="1"/>
  <c r="BN14" i="5" s="1"/>
  <c r="AO11" i="5"/>
  <c r="BM11" i="5" s="1"/>
  <c r="BN11" i="5" s="1"/>
  <c r="AO10" i="5"/>
  <c r="BM10" i="5" s="1"/>
  <c r="BN10" i="5" s="1"/>
  <c r="AO8" i="5"/>
  <c r="BM8" i="5" s="1"/>
  <c r="BN8" i="5" s="1"/>
  <c r="AO12" i="5"/>
  <c r="BM12" i="5" s="1"/>
  <c r="BN12" i="5" s="1"/>
  <c r="J20" i="2"/>
  <c r="BR7" i="4"/>
  <c r="D44" i="2" s="1"/>
  <c r="BR13" i="4"/>
  <c r="D50" i="2" s="1"/>
  <c r="BR9" i="4"/>
  <c r="D46" i="2" s="1"/>
  <c r="H11" i="3"/>
  <c r="AR12" i="4"/>
  <c r="AW12" i="4"/>
  <c r="BA12" i="4"/>
  <c r="BF12" i="4"/>
  <c r="W12" i="4"/>
  <c r="AA12" i="4"/>
  <c r="AF12" i="4"/>
  <c r="AK12" i="4"/>
  <c r="AS12" i="4"/>
  <c r="AX12" i="4"/>
  <c r="BC12" i="4"/>
  <c r="BG12" i="4"/>
  <c r="X12" i="4"/>
  <c r="AC12" i="4"/>
  <c r="AG12" i="4"/>
  <c r="AL12" i="4"/>
  <c r="AT12" i="4"/>
  <c r="AY12" i="4"/>
  <c r="BD12" i="4"/>
  <c r="Y12" i="4"/>
  <c r="AD12" i="4"/>
  <c r="AI12" i="4"/>
  <c r="AM12" i="4"/>
  <c r="AU12" i="4"/>
  <c r="AJ12" i="4"/>
  <c r="AZ12" i="4"/>
  <c r="BE12" i="4"/>
  <c r="Z12" i="4"/>
  <c r="AQ12" i="4"/>
  <c r="AE12" i="4"/>
  <c r="BM11" i="4"/>
  <c r="BN11" i="4" s="1"/>
  <c r="BK11" i="4"/>
  <c r="BL11" i="4" s="1"/>
  <c r="S9" i="4"/>
  <c r="T9" i="4" s="1"/>
  <c r="BK9" i="4"/>
  <c r="BL9" i="4" s="1"/>
  <c r="BM9" i="4"/>
  <c r="BN9" i="4" s="1"/>
  <c r="AT14" i="4"/>
  <c r="AY14" i="4"/>
  <c r="BD14" i="4"/>
  <c r="Y14" i="4"/>
  <c r="AD14" i="4"/>
  <c r="AI14" i="4"/>
  <c r="AM14" i="4"/>
  <c r="AQ14" i="4"/>
  <c r="AU14" i="4"/>
  <c r="AZ14" i="4"/>
  <c r="BE14" i="4"/>
  <c r="Z14" i="4"/>
  <c r="AE14" i="4"/>
  <c r="AJ14" i="4"/>
  <c r="AR14" i="4"/>
  <c r="AW14" i="4"/>
  <c r="BA14" i="4"/>
  <c r="BF14" i="4"/>
  <c r="W14" i="4"/>
  <c r="AA14" i="4"/>
  <c r="AF14" i="4"/>
  <c r="AK14" i="4"/>
  <c r="AX14" i="4"/>
  <c r="AL14" i="4"/>
  <c r="BC14" i="4"/>
  <c r="X14" i="4"/>
  <c r="BG14" i="4"/>
  <c r="AC14" i="4"/>
  <c r="AS14" i="4"/>
  <c r="AG14" i="4"/>
  <c r="AT10" i="4"/>
  <c r="AY10" i="4"/>
  <c r="BD10" i="4"/>
  <c r="Y10" i="4"/>
  <c r="AD10" i="4"/>
  <c r="AI10" i="4"/>
  <c r="AM10" i="4"/>
  <c r="AQ10" i="4"/>
  <c r="AU10" i="4"/>
  <c r="AZ10" i="4"/>
  <c r="BE10" i="4"/>
  <c r="Z10" i="4"/>
  <c r="AE10" i="4"/>
  <c r="AJ10" i="4"/>
  <c r="AR10" i="4"/>
  <c r="AW10" i="4"/>
  <c r="BA10" i="4"/>
  <c r="BF10" i="4"/>
  <c r="W10" i="4"/>
  <c r="AA10" i="4"/>
  <c r="AF10" i="4"/>
  <c r="AK10" i="4"/>
  <c r="AS10" i="4"/>
  <c r="AG10" i="4"/>
  <c r="AX10" i="4"/>
  <c r="AL10" i="4"/>
  <c r="BC10" i="4"/>
  <c r="X10" i="4"/>
  <c r="BG10" i="4"/>
  <c r="AC10" i="4"/>
  <c r="H13" i="3"/>
  <c r="S6" i="4"/>
  <c r="T6" i="4" s="1"/>
  <c r="S13" i="4"/>
  <c r="T13" i="4" s="1"/>
  <c r="BK13" i="4"/>
  <c r="BL13" i="4" s="1"/>
  <c r="BQ13" i="4" s="1"/>
  <c r="E50" i="2" s="1"/>
  <c r="BM13" i="4"/>
  <c r="BN13" i="4" s="1"/>
  <c r="H15" i="3"/>
  <c r="S8" i="4"/>
  <c r="T8" i="4" s="1"/>
  <c r="BK8" i="4"/>
  <c r="BL8" i="4" s="1"/>
  <c r="BQ8" i="4" s="1"/>
  <c r="E45" i="2" s="1"/>
  <c r="H45" i="2" s="1"/>
  <c r="BM8" i="4"/>
  <c r="BN8" i="4" s="1"/>
  <c r="BH8" i="5"/>
  <c r="AN8" i="5"/>
  <c r="AN6" i="5"/>
  <c r="BF5" i="5"/>
  <c r="BA5" i="5"/>
  <c r="AW5" i="5"/>
  <c r="AR5" i="5"/>
  <c r="AM5" i="5"/>
  <c r="AI5" i="5"/>
  <c r="AD5" i="5"/>
  <c r="Y5" i="5"/>
  <c r="AX5" i="5"/>
  <c r="AJ5" i="5"/>
  <c r="BE5" i="5"/>
  <c r="AZ5" i="5"/>
  <c r="AU5" i="5"/>
  <c r="AQ5" i="5"/>
  <c r="AL5" i="5"/>
  <c r="AG5" i="5"/>
  <c r="AC5" i="5"/>
  <c r="X5" i="5"/>
  <c r="BC5" i="5"/>
  <c r="AS5" i="5"/>
  <c r="AE5" i="5"/>
  <c r="BD5" i="5"/>
  <c r="AY5" i="5"/>
  <c r="AT5" i="5"/>
  <c r="AK5" i="5"/>
  <c r="AF5" i="5"/>
  <c r="AA5" i="5"/>
  <c r="W5" i="5"/>
  <c r="BG5" i="5"/>
  <c r="Z5" i="5"/>
  <c r="BH6" i="5"/>
  <c r="S11" i="4"/>
  <c r="T11" i="4" s="1"/>
  <c r="O7" i="4"/>
  <c r="C7" i="4" s="1"/>
  <c r="O11" i="4"/>
  <c r="O13" i="4"/>
  <c r="O5" i="4"/>
  <c r="C5" i="4" s="1"/>
  <c r="O12" i="4"/>
  <c r="O9" i="4"/>
  <c r="O8" i="4"/>
  <c r="H50" i="2" l="1"/>
  <c r="T70" i="6"/>
  <c r="M26" i="2" s="1"/>
  <c r="T71" i="6"/>
  <c r="M27" i="2" s="1"/>
  <c r="J14" i="3"/>
  <c r="J8" i="3"/>
  <c r="AO9" i="5"/>
  <c r="BM9" i="5" s="1"/>
  <c r="BN9" i="5" s="1"/>
  <c r="AO13" i="5"/>
  <c r="BM13" i="5" s="1"/>
  <c r="BN13" i="5" s="1"/>
  <c r="AO7" i="5"/>
  <c r="J10" i="3"/>
  <c r="S5" i="4"/>
  <c r="T5" i="4" s="1"/>
  <c r="AA5" i="4" s="1"/>
  <c r="BQ9" i="4"/>
  <c r="E46" i="2" s="1"/>
  <c r="H46" i="2" s="1"/>
  <c r="BQ11" i="4"/>
  <c r="E48" i="2" s="1"/>
  <c r="H48" i="2" s="1"/>
  <c r="BH14" i="4"/>
  <c r="BH12" i="4"/>
  <c r="BH10" i="4"/>
  <c r="AR8" i="4"/>
  <c r="AW8" i="4"/>
  <c r="BA8" i="4"/>
  <c r="BF8" i="4"/>
  <c r="W8" i="4"/>
  <c r="AA8" i="4"/>
  <c r="AF8" i="4"/>
  <c r="AK8" i="4"/>
  <c r="AS8" i="4"/>
  <c r="AX8" i="4"/>
  <c r="BC8" i="4"/>
  <c r="BG8" i="4"/>
  <c r="X8" i="4"/>
  <c r="AC8" i="4"/>
  <c r="AG8" i="4"/>
  <c r="AL8" i="4"/>
  <c r="AT8" i="4"/>
  <c r="AY8" i="4"/>
  <c r="BD8" i="4"/>
  <c r="Y8" i="4"/>
  <c r="AD8" i="4"/>
  <c r="AI8" i="4"/>
  <c r="AM8" i="4"/>
  <c r="AQ8" i="4"/>
  <c r="AE8" i="4"/>
  <c r="AU8" i="4"/>
  <c r="AJ8" i="4"/>
  <c r="AZ8" i="4"/>
  <c r="BE8" i="4"/>
  <c r="Z8" i="4"/>
  <c r="AS13" i="4"/>
  <c r="AX13" i="4"/>
  <c r="BC13" i="4"/>
  <c r="BG13" i="4"/>
  <c r="X13" i="4"/>
  <c r="AC13" i="4"/>
  <c r="AG13" i="4"/>
  <c r="AL13" i="4"/>
  <c r="AT13" i="4"/>
  <c r="AY13" i="4"/>
  <c r="BD13" i="4"/>
  <c r="Y13" i="4"/>
  <c r="AD13" i="4"/>
  <c r="AI13" i="4"/>
  <c r="AM13" i="4"/>
  <c r="AQ13" i="4"/>
  <c r="AU13" i="4"/>
  <c r="AZ13" i="4"/>
  <c r="BE13" i="4"/>
  <c r="Z13" i="4"/>
  <c r="AE13" i="4"/>
  <c r="AJ13" i="4"/>
  <c r="AW13" i="4"/>
  <c r="AK13" i="4"/>
  <c r="AF13" i="4"/>
  <c r="BA13" i="4"/>
  <c r="W13" i="4"/>
  <c r="BF13" i="4"/>
  <c r="AA13" i="4"/>
  <c r="AR13" i="4"/>
  <c r="AS9" i="4"/>
  <c r="AX9" i="4"/>
  <c r="BC9" i="4"/>
  <c r="BG9" i="4"/>
  <c r="X9" i="4"/>
  <c r="AC9" i="4"/>
  <c r="AG9" i="4"/>
  <c r="AL9" i="4"/>
  <c r="AT9" i="4"/>
  <c r="AY9" i="4"/>
  <c r="BD9" i="4"/>
  <c r="Y9" i="4"/>
  <c r="AD9" i="4"/>
  <c r="AI9" i="4"/>
  <c r="AM9" i="4"/>
  <c r="AQ9" i="4"/>
  <c r="AU9" i="4"/>
  <c r="AZ9" i="4"/>
  <c r="BE9" i="4"/>
  <c r="Z9" i="4"/>
  <c r="AE9" i="4"/>
  <c r="AJ9" i="4"/>
  <c r="AR9" i="4"/>
  <c r="AF9" i="4"/>
  <c r="AW9" i="4"/>
  <c r="AK9" i="4"/>
  <c r="BA9" i="4"/>
  <c r="W9" i="4"/>
  <c r="BF9" i="4"/>
  <c r="AA9" i="4"/>
  <c r="BM7" i="4"/>
  <c r="BN7" i="4" s="1"/>
  <c r="BK7" i="4"/>
  <c r="BL7" i="4" s="1"/>
  <c r="BQ7" i="4" s="1"/>
  <c r="AQ11" i="4"/>
  <c r="AU11" i="4"/>
  <c r="AZ11" i="4"/>
  <c r="BE11" i="4"/>
  <c r="Z11" i="4"/>
  <c r="AE11" i="4"/>
  <c r="AJ11" i="4"/>
  <c r="AR11" i="4"/>
  <c r="AW11" i="4"/>
  <c r="BA11" i="4"/>
  <c r="BF11" i="4"/>
  <c r="W11" i="4"/>
  <c r="AA11" i="4"/>
  <c r="AF11" i="4"/>
  <c r="AK11" i="4"/>
  <c r="AS11" i="4"/>
  <c r="AX11" i="4"/>
  <c r="BC11" i="4"/>
  <c r="BG11" i="4"/>
  <c r="X11" i="4"/>
  <c r="AC11" i="4"/>
  <c r="AG11" i="4"/>
  <c r="AL11" i="4"/>
  <c r="AT11" i="4"/>
  <c r="AI11" i="4"/>
  <c r="AY11" i="4"/>
  <c r="AM11" i="4"/>
  <c r="BD11" i="4"/>
  <c r="Y11" i="4"/>
  <c r="AD11" i="4"/>
  <c r="AN5" i="5"/>
  <c r="BH5" i="5"/>
  <c r="L13" i="3"/>
  <c r="H14" i="3"/>
  <c r="L11" i="3"/>
  <c r="S7" i="4"/>
  <c r="T7" i="4" s="1"/>
  <c r="H9" i="3"/>
  <c r="L9" i="3" s="1"/>
  <c r="BF6" i="4"/>
  <c r="AU6" i="4"/>
  <c r="W6" i="4"/>
  <c r="X6" i="4"/>
  <c r="AL6" i="4"/>
  <c r="AD6" i="4"/>
  <c r="AW6" i="4"/>
  <c r="BA6" i="4"/>
  <c r="AJ6" i="4"/>
  <c r="BD6" i="4"/>
  <c r="AE6" i="4"/>
  <c r="AG6" i="4"/>
  <c r="AT6" i="4"/>
  <c r="AI6" i="4"/>
  <c r="AC6" i="4"/>
  <c r="AX6" i="4"/>
  <c r="AA6" i="4"/>
  <c r="AQ6" i="4"/>
  <c r="Z6" i="4"/>
  <c r="AZ6" i="4"/>
  <c r="AM6" i="4"/>
  <c r="AK6" i="4"/>
  <c r="AS6" i="4"/>
  <c r="BE6" i="4"/>
  <c r="AY6" i="4"/>
  <c r="Y6" i="4"/>
  <c r="BC6" i="4"/>
  <c r="AF6" i="4"/>
  <c r="BG6" i="4"/>
  <c r="AR6" i="4"/>
  <c r="F45" i="2" l="1"/>
  <c r="G45" i="2" s="1"/>
  <c r="F59" i="6"/>
  <c r="F47" i="2"/>
  <c r="G47" i="2" s="1"/>
  <c r="F61" i="6"/>
  <c r="F49" i="2"/>
  <c r="G49" i="2" s="1"/>
  <c r="F63" i="6"/>
  <c r="BM7" i="5"/>
  <c r="BN7" i="5" s="1"/>
  <c r="BQ7" i="5" s="1"/>
  <c r="E44" i="2" s="1"/>
  <c r="H44" i="2" s="1"/>
  <c r="BR7" i="5"/>
  <c r="H12" i="3"/>
  <c r="L12" i="3" s="1"/>
  <c r="F62" i="6" s="1"/>
  <c r="L14" i="3"/>
  <c r="D14" i="2"/>
  <c r="D16" i="2"/>
  <c r="H10" i="3"/>
  <c r="L10" i="3" s="1"/>
  <c r="D18" i="2"/>
  <c r="BH11" i="4"/>
  <c r="AJ7" i="4"/>
  <c r="BE7" i="4"/>
  <c r="AM7" i="4"/>
  <c r="AZ7" i="4"/>
  <c r="Y7" i="4"/>
  <c r="AI7" i="4"/>
  <c r="AY7" i="4"/>
  <c r="AW7" i="4"/>
  <c r="X7" i="4"/>
  <c r="BH13" i="4"/>
  <c r="AR7" i="4"/>
  <c r="AT7" i="4"/>
  <c r="AX7" i="4"/>
  <c r="AG7" i="4"/>
  <c r="AD7" i="4"/>
  <c r="BC7" i="4"/>
  <c r="AL7" i="4"/>
  <c r="AU7" i="4"/>
  <c r="AE7" i="4"/>
  <c r="W7" i="4"/>
  <c r="Z7" i="4"/>
  <c r="BA7" i="4"/>
  <c r="BD7" i="4"/>
  <c r="BG7" i="4"/>
  <c r="AC7" i="4"/>
  <c r="AA7" i="4"/>
  <c r="AQ7" i="4"/>
  <c r="BF7" i="4"/>
  <c r="AK7" i="4"/>
  <c r="AS7" i="4"/>
  <c r="AF7" i="4"/>
  <c r="AI5" i="4"/>
  <c r="AE5" i="4"/>
  <c r="AY5" i="4"/>
  <c r="AW5" i="4"/>
  <c r="BF5" i="4"/>
  <c r="AT5" i="4"/>
  <c r="X5" i="4"/>
  <c r="BD5" i="4"/>
  <c r="AQ5" i="4"/>
  <c r="AS5" i="4"/>
  <c r="AU5" i="4"/>
  <c r="AD5" i="4"/>
  <c r="AC5" i="4"/>
  <c r="AR5" i="4"/>
  <c r="AX5" i="4"/>
  <c r="H8" i="3"/>
  <c r="L8" i="3" s="1"/>
  <c r="F58" i="6" s="1"/>
  <c r="BC5" i="4"/>
  <c r="AK5" i="4"/>
  <c r="W5" i="4"/>
  <c r="AZ5" i="4"/>
  <c r="AL5" i="4"/>
  <c r="AG5" i="4"/>
  <c r="Y5" i="4"/>
  <c r="AM5" i="4"/>
  <c r="BA5" i="4"/>
  <c r="AJ5" i="4"/>
  <c r="BG5" i="4"/>
  <c r="AF5" i="4"/>
  <c r="Z5" i="4"/>
  <c r="BE5" i="4"/>
  <c r="AN12" i="4"/>
  <c r="AN6" i="4"/>
  <c r="U6" i="4" s="1"/>
  <c r="BK6" i="4" s="1"/>
  <c r="BL6" i="4" s="1"/>
  <c r="BH8" i="4"/>
  <c r="AN8" i="4"/>
  <c r="AN9" i="4"/>
  <c r="BH6" i="4"/>
  <c r="AO6" i="4" s="1"/>
  <c r="BH9" i="4"/>
  <c r="F46" i="2" l="1"/>
  <c r="G46" i="2" s="1"/>
  <c r="F60" i="6"/>
  <c r="F50" i="2"/>
  <c r="G50" i="2" s="1"/>
  <c r="F64" i="6"/>
  <c r="F44" i="2"/>
  <c r="G44" i="2" s="1"/>
  <c r="D17" i="2"/>
  <c r="F48" i="2"/>
  <c r="G48" i="2" s="1"/>
  <c r="D19" i="2"/>
  <c r="D15" i="2"/>
  <c r="D13" i="2"/>
  <c r="BR6" i="4"/>
  <c r="BM6" i="4"/>
  <c r="BN6" i="4" s="1"/>
  <c r="BQ6" i="4" s="1"/>
  <c r="BH7" i="4"/>
  <c r="AN7" i="4"/>
  <c r="AN5" i="4"/>
  <c r="U5" i="4" s="1"/>
  <c r="BK5" i="4" s="1"/>
  <c r="BL5" i="4" s="1"/>
  <c r="BH5" i="4"/>
  <c r="AO5" i="4" s="1"/>
  <c r="AN14" i="4"/>
  <c r="AN10" i="4"/>
  <c r="G63" i="6" l="1"/>
  <c r="G59" i="6"/>
  <c r="G61" i="6"/>
  <c r="H7" i="3"/>
  <c r="D43" i="2"/>
  <c r="J7" i="3"/>
  <c r="BM5" i="4"/>
  <c r="BN5" i="4" s="1"/>
  <c r="BQ5" i="4" s="1"/>
  <c r="BR5" i="4"/>
  <c r="D42" i="2" s="1"/>
  <c r="AN11" i="4"/>
  <c r="AN13" i="4"/>
  <c r="AO6" i="5" l="1"/>
  <c r="G64" i="6"/>
  <c r="G62" i="6"/>
  <c r="G58" i="6"/>
  <c r="G60" i="6"/>
  <c r="BR6" i="5"/>
  <c r="BM6" i="5"/>
  <c r="BN6" i="5" s="1"/>
  <c r="BQ6" i="5" s="1"/>
  <c r="E43" i="2" s="1"/>
  <c r="H43" i="2" s="1"/>
  <c r="L7" i="3"/>
  <c r="F57" i="6" s="1"/>
  <c r="H6" i="3"/>
  <c r="J6" i="3"/>
  <c r="AO5" i="5"/>
  <c r="BR5" i="5" s="1"/>
  <c r="P58" i="6" l="1"/>
  <c r="S58" i="6"/>
  <c r="R58" i="6"/>
  <c r="Q58" i="6"/>
  <c r="F43" i="2"/>
  <c r="G43" i="2" s="1"/>
  <c r="D12" i="2"/>
  <c r="L6" i="3"/>
  <c r="F56" i="6" s="1"/>
  <c r="BM5" i="5"/>
  <c r="BN5" i="5" s="1"/>
  <c r="L15" i="3"/>
  <c r="F51" i="2" l="1"/>
  <c r="G51" i="2" s="1"/>
  <c r="F65" i="6"/>
  <c r="D20" i="2"/>
  <c r="D11" i="2"/>
  <c r="BQ5" i="5"/>
  <c r="G57" i="6" l="1"/>
  <c r="D21" i="2"/>
  <c r="H10" i="2" s="1"/>
  <c r="G23" i="3" s="1"/>
  <c r="E42" i="2"/>
  <c r="H42" i="2" s="1"/>
  <c r="O57" i="6" l="1"/>
  <c r="S57" i="6"/>
  <c r="Q57" i="6"/>
  <c r="K57" i="6"/>
  <c r="M57" i="6"/>
  <c r="R57" i="6"/>
  <c r="N57" i="6"/>
  <c r="J57" i="6"/>
  <c r="P57" i="6"/>
  <c r="L57" i="6"/>
  <c r="I57" i="6"/>
  <c r="H57" i="6"/>
  <c r="G56" i="6"/>
  <c r="G65" i="6"/>
  <c r="F42" i="2"/>
  <c r="H13" i="2"/>
  <c r="L10" i="2"/>
  <c r="H23" i="3" s="1"/>
  <c r="G42" i="2" l="1"/>
  <c r="Q56" i="6"/>
  <c r="Q82" i="6" s="1"/>
  <c r="N56" i="6"/>
  <c r="N82" i="6" s="1"/>
  <c r="S56" i="6"/>
  <c r="S82" i="6" s="1"/>
  <c r="P56" i="6"/>
  <c r="P82" i="6" s="1"/>
  <c r="R56" i="6"/>
  <c r="R82" i="6" s="1"/>
  <c r="O56" i="6"/>
  <c r="O82" i="6" s="1"/>
  <c r="H56" i="6"/>
  <c r="H82" i="6" s="1"/>
  <c r="I56" i="6"/>
  <c r="I82" i="6" s="1"/>
  <c r="L56" i="6"/>
  <c r="L82" i="6" s="1"/>
  <c r="M56" i="6"/>
  <c r="M82" i="6" s="1"/>
  <c r="K56" i="6"/>
  <c r="K82" i="6" s="1"/>
  <c r="J56" i="6"/>
  <c r="J82" i="6" s="1"/>
  <c r="L13" i="2"/>
  <c r="E54" i="2" l="1"/>
  <c r="G52" i="2"/>
  <c r="T56" i="6"/>
  <c r="M25" i="2" s="1"/>
  <c r="C58" i="2" l="1"/>
  <c r="D58" i="2" s="1"/>
  <c r="C59" i="2"/>
  <c r="C60" i="2"/>
  <c r="D59" i="2" l="1"/>
  <c r="D60" i="2" l="1"/>
  <c r="D61" i="2" s="1"/>
  <c r="H14" i="2" l="1"/>
  <c r="H58" i="2"/>
  <c r="H60" i="2"/>
  <c r="L14" i="2"/>
  <c r="R11" i="2"/>
  <c r="C37" i="6"/>
  <c r="L15" i="2"/>
  <c r="H27" i="3" s="1"/>
  <c r="H56" i="2"/>
  <c r="G35" i="3" s="1"/>
  <c r="H15" i="2"/>
  <c r="G27" i="3" s="1"/>
  <c r="R17" i="2" l="1"/>
  <c r="R18" i="2" s="1"/>
  <c r="R19" i="2" s="1"/>
  <c r="L16" i="2" s="1"/>
  <c r="H25" i="3" s="1"/>
  <c r="R12" i="2"/>
  <c r="R13" i="2" s="1"/>
  <c r="H16" i="2" s="1"/>
  <c r="K76" i="6"/>
  <c r="S75" i="6"/>
  <c r="J75" i="6"/>
  <c r="I75" i="6"/>
  <c r="R75" i="6"/>
  <c r="R76" i="6"/>
  <c r="L75" i="6"/>
  <c r="S76" i="6"/>
  <c r="Q76" i="6"/>
  <c r="P76" i="6"/>
  <c r="Q75" i="6"/>
  <c r="L76" i="6"/>
  <c r="O76" i="6"/>
  <c r="P75" i="6"/>
  <c r="H75" i="6"/>
  <c r="M75" i="6"/>
  <c r="H76" i="6"/>
  <c r="N75" i="6"/>
  <c r="N76" i="6"/>
  <c r="O75" i="6"/>
  <c r="K75" i="6"/>
  <c r="J76" i="6"/>
  <c r="M76" i="6"/>
  <c r="I76" i="6"/>
  <c r="Q83" i="6" l="1"/>
  <c r="S83" i="6"/>
  <c r="I83" i="6"/>
  <c r="M83" i="6"/>
  <c r="J83" i="6"/>
  <c r="O83" i="6"/>
  <c r="L17" i="2"/>
  <c r="H29" i="3" s="1"/>
  <c r="H31" i="3" s="1"/>
  <c r="T76" i="6"/>
  <c r="M30" i="2" s="1"/>
  <c r="L83" i="6"/>
  <c r="N83" i="6"/>
  <c r="P83" i="6"/>
  <c r="G25" i="3"/>
  <c r="H17" i="2"/>
  <c r="T75" i="6"/>
  <c r="M29" i="2" s="1"/>
  <c r="H83" i="6"/>
  <c r="H84" i="6" s="1"/>
  <c r="K83" i="6"/>
  <c r="R83" i="6"/>
  <c r="L19" i="2" l="1"/>
  <c r="L20" i="2" s="1"/>
  <c r="H19" i="2"/>
  <c r="H20" i="2" s="1"/>
  <c r="G29" i="3"/>
  <c r="G31" i="3" s="1"/>
  <c r="H86" i="6"/>
  <c r="H87" i="6" s="1"/>
  <c r="J84" i="6" l="1"/>
  <c r="J86" i="6" s="1"/>
  <c r="J87" i="6" s="1"/>
  <c r="L84" i="6"/>
  <c r="I84" i="6"/>
  <c r="L86" i="6" l="1"/>
  <c r="L87" i="6" s="1"/>
  <c r="I86" i="6"/>
  <c r="K84" i="6"/>
  <c r="I87" i="6" l="1"/>
  <c r="N84" i="6"/>
  <c r="K86" i="6"/>
  <c r="K87" i="6" l="1"/>
  <c r="P84" i="6"/>
  <c r="R84" i="6"/>
  <c r="N86" i="6"/>
  <c r="N87" i="6" s="1"/>
  <c r="M84" i="6"/>
  <c r="O84" i="6" l="1"/>
  <c r="O86" i="6" s="1"/>
  <c r="O87" i="6" s="1"/>
  <c r="I25" i="3"/>
  <c r="P86" i="6"/>
  <c r="P87" i="6" s="1"/>
  <c r="I23" i="3"/>
  <c r="M86" i="6"/>
  <c r="M87" i="6" s="1"/>
  <c r="M28" i="2"/>
  <c r="R86" i="6"/>
  <c r="R87" i="6" s="1"/>
  <c r="S84" i="6" l="1"/>
  <c r="M31" i="2"/>
  <c r="Q84" i="6"/>
  <c r="I27" i="3"/>
  <c r="T82" i="6"/>
  <c r="Q86" i="6" l="1"/>
  <c r="Q87" i="6" s="1"/>
  <c r="T84" i="6"/>
  <c r="S86" i="6"/>
  <c r="T83" i="6"/>
  <c r="T86" i="6" l="1"/>
  <c r="S87" i="6"/>
  <c r="T87" i="6" s="1"/>
  <c r="M35" i="2" s="1"/>
  <c r="I29" i="3" s="1"/>
  <c r="I31" i="3" s="1"/>
  <c r="M33" i="2" l="1"/>
  <c r="M34" i="2" s="1"/>
  <c r="H64" i="2" s="1"/>
  <c r="G34" i="3" s="1"/>
</calcChain>
</file>

<file path=xl/sharedStrings.xml><?xml version="1.0" encoding="utf-8"?>
<sst xmlns="http://schemas.openxmlformats.org/spreadsheetml/2006/main" count="639" uniqueCount="229">
  <si>
    <t>円</t>
    <rPh sb="0" eb="1">
      <t>エン</t>
    </rPh>
    <phoneticPr fontId="1"/>
  </si>
  <si>
    <t>月</t>
    <rPh sb="0" eb="1">
      <t>ガツ</t>
    </rPh>
    <phoneticPr fontId="1"/>
  </si>
  <si>
    <t>税率</t>
    <rPh sb="0" eb="2">
      <t>ゼイリツ</t>
    </rPh>
    <phoneticPr fontId="1"/>
  </si>
  <si>
    <t>医療分</t>
    <rPh sb="0" eb="2">
      <t>イリョウ</t>
    </rPh>
    <rPh sb="2" eb="3">
      <t>ブン</t>
    </rPh>
    <phoneticPr fontId="1"/>
  </si>
  <si>
    <t>支援金分</t>
    <rPh sb="0" eb="3">
      <t>シエンキン</t>
    </rPh>
    <rPh sb="3" eb="4">
      <t>ブン</t>
    </rPh>
    <phoneticPr fontId="1"/>
  </si>
  <si>
    <t>介護分</t>
    <rPh sb="0" eb="2">
      <t>カイゴ</t>
    </rPh>
    <rPh sb="2" eb="3">
      <t>ブン</t>
    </rPh>
    <phoneticPr fontId="1"/>
  </si>
  <si>
    <t>所得割</t>
    <rPh sb="0" eb="2">
      <t>ショトク</t>
    </rPh>
    <rPh sb="2" eb="3">
      <t>ワリ</t>
    </rPh>
    <phoneticPr fontId="1"/>
  </si>
  <si>
    <t>均等割</t>
    <rPh sb="0" eb="3">
      <t>キントウワリ</t>
    </rPh>
    <phoneticPr fontId="1"/>
  </si>
  <si>
    <t>平等割</t>
    <rPh sb="0" eb="2">
      <t>ビョウドウ</t>
    </rPh>
    <rPh sb="2" eb="3">
      <t>ワリ</t>
    </rPh>
    <phoneticPr fontId="1"/>
  </si>
  <si>
    <t>1人目</t>
    <rPh sb="1" eb="2">
      <t>ニン</t>
    </rPh>
    <rPh sb="2" eb="3">
      <t>メ</t>
    </rPh>
    <phoneticPr fontId="1"/>
  </si>
  <si>
    <t>2人目</t>
    <rPh sb="1" eb="2">
      <t>ニン</t>
    </rPh>
    <rPh sb="2" eb="3">
      <t>メ</t>
    </rPh>
    <phoneticPr fontId="1"/>
  </si>
  <si>
    <t>3人目</t>
    <rPh sb="1" eb="2">
      <t>ニン</t>
    </rPh>
    <rPh sb="2" eb="3">
      <t>メ</t>
    </rPh>
    <phoneticPr fontId="1"/>
  </si>
  <si>
    <t>4人目</t>
    <rPh sb="1" eb="2">
      <t>ニン</t>
    </rPh>
    <rPh sb="2" eb="3">
      <t>メ</t>
    </rPh>
    <phoneticPr fontId="1"/>
  </si>
  <si>
    <t>5人目</t>
    <rPh sb="1" eb="2">
      <t>ニン</t>
    </rPh>
    <rPh sb="2" eb="3">
      <t>メ</t>
    </rPh>
    <phoneticPr fontId="1"/>
  </si>
  <si>
    <t>6人目</t>
    <rPh sb="1" eb="2">
      <t>ニン</t>
    </rPh>
    <rPh sb="2" eb="3">
      <t>メ</t>
    </rPh>
    <phoneticPr fontId="1"/>
  </si>
  <si>
    <t>7人目</t>
    <rPh sb="1" eb="2">
      <t>ニン</t>
    </rPh>
    <rPh sb="2" eb="3">
      <t>メ</t>
    </rPh>
    <phoneticPr fontId="1"/>
  </si>
  <si>
    <t>8人目</t>
    <rPh sb="1" eb="2">
      <t>ニン</t>
    </rPh>
    <rPh sb="2" eb="3">
      <t>メ</t>
    </rPh>
    <phoneticPr fontId="1"/>
  </si>
  <si>
    <t>9人目</t>
    <rPh sb="1" eb="2">
      <t>ニン</t>
    </rPh>
    <rPh sb="2" eb="3">
      <t>メ</t>
    </rPh>
    <phoneticPr fontId="1"/>
  </si>
  <si>
    <t>●何月から加入？？</t>
    <rPh sb="1" eb="3">
      <t>ナンガツ</t>
    </rPh>
    <rPh sb="5" eb="7">
      <t>カニュウ</t>
    </rPh>
    <phoneticPr fontId="1"/>
  </si>
  <si>
    <t>医療・支援</t>
    <rPh sb="0" eb="2">
      <t>イリョウ</t>
    </rPh>
    <rPh sb="3" eb="5">
      <t>シエン</t>
    </rPh>
    <phoneticPr fontId="1"/>
  </si>
  <si>
    <t>限度額</t>
    <rPh sb="0" eb="2">
      <t>ゲンド</t>
    </rPh>
    <rPh sb="2" eb="3">
      <t>ガク</t>
    </rPh>
    <phoneticPr fontId="1"/>
  </si>
  <si>
    <t>計</t>
    <rPh sb="0" eb="1">
      <t>ケイ</t>
    </rPh>
    <phoneticPr fontId="1"/>
  </si>
  <si>
    <t>軽減：均</t>
    <rPh sb="0" eb="2">
      <t>ケイゲン</t>
    </rPh>
    <rPh sb="3" eb="4">
      <t>キン</t>
    </rPh>
    <phoneticPr fontId="1"/>
  </si>
  <si>
    <t>軽減：平</t>
    <rPh sb="0" eb="2">
      <t>ケイゲン</t>
    </rPh>
    <rPh sb="3" eb="4">
      <t>ビョウ</t>
    </rPh>
    <phoneticPr fontId="1"/>
  </si>
  <si>
    <t>算定額</t>
    <rPh sb="0" eb="2">
      <t>サンテイ</t>
    </rPh>
    <rPh sb="2" eb="3">
      <t>ガク</t>
    </rPh>
    <phoneticPr fontId="1"/>
  </si>
  <si>
    <t>軽減後</t>
    <rPh sb="0" eb="2">
      <t>ケイゲン</t>
    </rPh>
    <rPh sb="2" eb="3">
      <t>ゴ</t>
    </rPh>
    <phoneticPr fontId="1"/>
  </si>
  <si>
    <t>12か月分</t>
    <rPh sb="3" eb="5">
      <t>ゲツブン</t>
    </rPh>
    <phoneticPr fontId="1"/>
  </si>
  <si>
    <t>医療分</t>
    <phoneticPr fontId="1"/>
  </si>
  <si>
    <t>支援金分</t>
    <rPh sb="0" eb="3">
      <t>シエンキン</t>
    </rPh>
    <rPh sb="3" eb="4">
      <t>ブン</t>
    </rPh>
    <phoneticPr fontId="1"/>
  </si>
  <si>
    <t>介護分</t>
    <rPh sb="0" eb="2">
      <t>カイゴ</t>
    </rPh>
    <rPh sb="2" eb="3">
      <t>ブン</t>
    </rPh>
    <phoneticPr fontId="1"/>
  </si>
  <si>
    <t>給与所得</t>
    <rPh sb="0" eb="2">
      <t>キュウヨ</t>
    </rPh>
    <rPh sb="2" eb="4">
      <t>ショトク</t>
    </rPh>
    <phoneticPr fontId="1"/>
  </si>
  <si>
    <t>年金所得</t>
    <rPh sb="0" eb="2">
      <t>ネンキン</t>
    </rPh>
    <rPh sb="2" eb="4">
      <t>ショトク</t>
    </rPh>
    <phoneticPr fontId="1"/>
  </si>
  <si>
    <t>◆給与所得換算◆</t>
    <rPh sb="1" eb="3">
      <t>キュウヨ</t>
    </rPh>
    <rPh sb="3" eb="5">
      <t>ショトク</t>
    </rPh>
    <rPh sb="5" eb="7">
      <t>カンサン</t>
    </rPh>
    <phoneticPr fontId="5"/>
  </si>
  <si>
    <t>◆年金所得換算◆</t>
    <rPh sb="1" eb="3">
      <t>ネンキン</t>
    </rPh>
    <rPh sb="3" eb="5">
      <t>ショトク</t>
    </rPh>
    <rPh sb="5" eb="7">
      <t>カンサン</t>
    </rPh>
    <phoneticPr fontId="5"/>
  </si>
  <si>
    <t>◆給与所得調整控除◆</t>
    <phoneticPr fontId="5"/>
  </si>
  <si>
    <t>№</t>
    <phoneticPr fontId="5"/>
  </si>
  <si>
    <t>収入</t>
    <rPh sb="0" eb="2">
      <t>シュウニュウ</t>
    </rPh>
    <phoneticPr fontId="5"/>
  </si>
  <si>
    <t>所得</t>
    <rPh sb="0" eb="2">
      <t>ショトク</t>
    </rPh>
    <phoneticPr fontId="5"/>
  </si>
  <si>
    <t>所得金額</t>
    <phoneticPr fontId="5"/>
  </si>
  <si>
    <t>公的年金等に係る雑
所得以外の所得合計</t>
    <rPh sb="0" eb="2">
      <t>コウテキ</t>
    </rPh>
    <rPh sb="2" eb="4">
      <t>ネンキン</t>
    </rPh>
    <rPh sb="4" eb="5">
      <t>トウ</t>
    </rPh>
    <rPh sb="6" eb="7">
      <t>カカ</t>
    </rPh>
    <rPh sb="8" eb="9">
      <t>ゾウ</t>
    </rPh>
    <rPh sb="10" eb="12">
      <t>ショトク</t>
    </rPh>
    <rPh sb="12" eb="14">
      <t>イガイ</t>
    </rPh>
    <rPh sb="15" eb="17">
      <t>ショトク</t>
    </rPh>
    <rPh sb="17" eb="19">
      <t>ゴウケイ</t>
    </rPh>
    <phoneticPr fontId="5"/>
  </si>
  <si>
    <t>65歳未満</t>
    <rPh sb="2" eb="5">
      <t>サイミマン</t>
    </rPh>
    <phoneticPr fontId="5"/>
  </si>
  <si>
    <t>所得金額</t>
    <phoneticPr fontId="5"/>
  </si>
  <si>
    <t>65歳以上</t>
    <rPh sb="2" eb="5">
      <t>サイイジョウ</t>
    </rPh>
    <phoneticPr fontId="5"/>
  </si>
  <si>
    <t>未満</t>
    <rPh sb="0" eb="2">
      <t>ミマン</t>
    </rPh>
    <phoneticPr fontId="5"/>
  </si>
  <si>
    <t>以上</t>
    <rPh sb="0" eb="2">
      <t>イジョウ</t>
    </rPh>
    <phoneticPr fontId="5"/>
  </si>
  <si>
    <t>所得</t>
  </si>
  <si>
    <t>世帯主</t>
    <rPh sb="0" eb="3">
      <t>セタイヌシ</t>
    </rPh>
    <phoneticPr fontId="1"/>
  </si>
  <si>
    <t>調整控除</t>
    <phoneticPr fontId="1"/>
  </si>
  <si>
    <t>調整控除</t>
    <phoneticPr fontId="5"/>
  </si>
  <si>
    <t>65歳未満</t>
    <phoneticPr fontId="5"/>
  </si>
  <si>
    <t>年齢</t>
    <rPh sb="0" eb="2">
      <t>ネンレイ</t>
    </rPh>
    <phoneticPr fontId="5"/>
  </si>
  <si>
    <t>給与所得</t>
    <rPh sb="0" eb="2">
      <t>キュウヨ</t>
    </rPh>
    <rPh sb="2" eb="4">
      <t>ショトク</t>
    </rPh>
    <phoneticPr fontId="5"/>
  </si>
  <si>
    <t>年金所得</t>
    <rPh sb="0" eb="2">
      <t>ネンキン</t>
    </rPh>
    <rPh sb="2" eb="4">
      <t>ショトク</t>
    </rPh>
    <phoneticPr fontId="5"/>
  </si>
  <si>
    <t>軽減判定所得</t>
    <rPh sb="0" eb="2">
      <t>ケイゲン</t>
    </rPh>
    <rPh sb="2" eb="4">
      <t>ハンテイ</t>
    </rPh>
    <rPh sb="4" eb="6">
      <t>ショトク</t>
    </rPh>
    <phoneticPr fontId="1"/>
  </si>
  <si>
    <t>軽減所得</t>
    <rPh sb="0" eb="2">
      <t>ケイゲン</t>
    </rPh>
    <rPh sb="2" eb="4">
      <t>ショトク</t>
    </rPh>
    <phoneticPr fontId="1"/>
  </si>
  <si>
    <t>軽減年金</t>
    <rPh sb="0" eb="2">
      <t>ケイゲン</t>
    </rPh>
    <rPh sb="2" eb="4">
      <t>ネンキン</t>
    </rPh>
    <phoneticPr fontId="1"/>
  </si>
  <si>
    <t>基礎控除</t>
    <rPh sb="0" eb="2">
      <t>キソ</t>
    </rPh>
    <rPh sb="2" eb="4">
      <t>コウジョ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</si>
  <si>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</si>
  <si>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</si>
  <si>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</si>
  <si>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</si>
  <si>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</si>
  <si>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</si>
  <si>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軽減上の給与年金所得有の人数</t>
    <rPh sb="0" eb="2">
      <t>ケイゲン</t>
    </rPh>
    <rPh sb="2" eb="3">
      <t>ジョウ</t>
    </rPh>
    <rPh sb="4" eb="6">
      <t>キュウヨ</t>
    </rPh>
    <rPh sb="6" eb="8">
      <t>ネンキン</t>
    </rPh>
    <rPh sb="8" eb="10">
      <t>ショトク</t>
    </rPh>
    <rPh sb="10" eb="11">
      <t>アリ</t>
    </rPh>
    <rPh sb="12" eb="14">
      <t>ニンズウ</t>
    </rPh>
    <phoneticPr fontId="1"/>
  </si>
  <si>
    <t>軽減給与</t>
    <rPh sb="0" eb="2">
      <t>ケイゲン</t>
    </rPh>
    <rPh sb="2" eb="4">
      <t>キュウヨ</t>
    </rPh>
    <phoneticPr fontId="1"/>
  </si>
  <si>
    <t>加入者数</t>
    <rPh sb="0" eb="3">
      <t>カニュウシャ</t>
    </rPh>
    <rPh sb="3" eb="4">
      <t>スウ</t>
    </rPh>
    <phoneticPr fontId="1"/>
  </si>
  <si>
    <t>軽減の閾値</t>
    <rPh sb="0" eb="2">
      <t>ケイゲン</t>
    </rPh>
    <rPh sb="3" eb="5">
      <t>シキイチ</t>
    </rPh>
    <phoneticPr fontId="1"/>
  </si>
  <si>
    <t>軽減割合</t>
    <rPh sb="0" eb="2">
      <t>ケイゲン</t>
    </rPh>
    <rPh sb="2" eb="4">
      <t>ワリアイ</t>
    </rPh>
    <phoneticPr fontId="1"/>
  </si>
  <si>
    <t>人数で増</t>
    <rPh sb="0" eb="2">
      <t>ニンズウ</t>
    </rPh>
    <rPh sb="3" eb="4">
      <t>ゾウ</t>
    </rPh>
    <phoneticPr fontId="1"/>
  </si>
  <si>
    <t>該当フラグ</t>
    <rPh sb="0" eb="2">
      <t>ガイトウ</t>
    </rPh>
    <phoneticPr fontId="1"/>
  </si>
  <si>
    <t>給与年金フラグ</t>
    <rPh sb="0" eb="2">
      <t>キュウヨ</t>
    </rPh>
    <rPh sb="2" eb="4">
      <t>ネンキン</t>
    </rPh>
    <phoneticPr fontId="1"/>
  </si>
  <si>
    <t>所得割額</t>
    <rPh sb="0" eb="2">
      <t>ショトク</t>
    </rPh>
    <rPh sb="2" eb="3">
      <t>ワリ</t>
    </rPh>
    <rPh sb="3" eb="4">
      <t>ガク</t>
    </rPh>
    <phoneticPr fontId="1"/>
  </si>
  <si>
    <t>平等割額</t>
    <rPh sb="0" eb="2">
      <t>ビョウドウ</t>
    </rPh>
    <rPh sb="2" eb="3">
      <t>ワリ</t>
    </rPh>
    <rPh sb="3" eb="4">
      <t>ガク</t>
    </rPh>
    <phoneticPr fontId="1"/>
  </si>
  <si>
    <t>限度超過額</t>
    <rPh sb="0" eb="2">
      <t>ゲンド</t>
    </rPh>
    <rPh sb="2" eb="4">
      <t>チョウカ</t>
    </rPh>
    <rPh sb="4" eb="5">
      <t>ガク</t>
    </rPh>
    <phoneticPr fontId="1"/>
  </si>
  <si>
    <t>支援分</t>
    <rPh sb="0" eb="2">
      <t>シエン</t>
    </rPh>
    <rPh sb="2" eb="3">
      <t>ブン</t>
    </rPh>
    <phoneticPr fontId="1"/>
  </si>
  <si>
    <t>介護分</t>
    <rPh sb="0" eb="2">
      <t>カイゴ</t>
    </rPh>
    <rPh sb="2" eb="3">
      <t>ブン</t>
    </rPh>
    <phoneticPr fontId="1"/>
  </si>
  <si>
    <t>均等割額</t>
    <rPh sb="0" eb="3">
      <t>キントウワ</t>
    </rPh>
    <rPh sb="3" eb="4">
      <t>ガク</t>
    </rPh>
    <phoneticPr fontId="1"/>
  </si>
  <si>
    <t>豊橋市　国民健康保険税の概算表</t>
    <rPh sb="0" eb="3">
      <t>トヨハシシ</t>
    </rPh>
    <phoneticPr fontId="1"/>
  </si>
  <si>
    <t>←の色の枠に入力して下さい。</t>
    <rPh sb="2" eb="3">
      <t>イロ</t>
    </rPh>
    <rPh sb="4" eb="5">
      <t>ワク</t>
    </rPh>
    <rPh sb="6" eb="8">
      <t>ニュウリョク</t>
    </rPh>
    <rPh sb="10" eb="11">
      <t>クダ</t>
    </rPh>
    <phoneticPr fontId="1"/>
  </si>
  <si>
    <t>生年月日</t>
    <rPh sb="0" eb="2">
      <t>セイネン</t>
    </rPh>
    <rPh sb="2" eb="4">
      <t>ガッピ</t>
    </rPh>
    <phoneticPr fontId="1"/>
  </si>
  <si>
    <t>年度</t>
    <rPh sb="0" eb="2">
      <t>ネンド</t>
    </rPh>
    <phoneticPr fontId="1"/>
  </si>
  <si>
    <t>介護2号</t>
    <rPh sb="0" eb="2">
      <t>カイゴ</t>
    </rPh>
    <rPh sb="3" eb="4">
      <t>ゴウ</t>
    </rPh>
    <phoneticPr fontId="1"/>
  </si>
  <si>
    <t>～</t>
    <phoneticPr fontId="1"/>
  </si>
  <si>
    <t>～</t>
    <phoneticPr fontId="1"/>
  </si>
  <si>
    <t>40歳適用開始</t>
    <rPh sb="2" eb="3">
      <t>サイ</t>
    </rPh>
    <rPh sb="3" eb="5">
      <t>テキヨウ</t>
    </rPh>
    <rPh sb="5" eb="7">
      <t>カイシ</t>
    </rPh>
    <phoneticPr fontId="1"/>
  </si>
  <si>
    <t>65歳適用終了</t>
    <phoneticPr fontId="1"/>
  </si>
  <si>
    <t>加入は1</t>
    <rPh sb="0" eb="2">
      <t>カニュウ</t>
    </rPh>
    <phoneticPr fontId="1"/>
  </si>
  <si>
    <t>賦課が発生する月数（加入月～3月）</t>
    <rPh sb="10" eb="12">
      <t>カニュウ</t>
    </rPh>
    <rPh sb="12" eb="13">
      <t>ツキ</t>
    </rPh>
    <phoneticPr fontId="1"/>
  </si>
  <si>
    <t>賦課が発生する月数（4～3月）</t>
    <rPh sb="0" eb="2">
      <t>フカ</t>
    </rPh>
    <rPh sb="3" eb="5">
      <t>ハッセイ</t>
    </rPh>
    <rPh sb="13" eb="14">
      <t>ガツ</t>
    </rPh>
    <phoneticPr fontId="1"/>
  </si>
  <si>
    <t>加入月</t>
    <rPh sb="0" eb="2">
      <t>カニュウ</t>
    </rPh>
    <rPh sb="2" eb="3">
      <t>ツキ</t>
    </rPh>
    <phoneticPr fontId="1"/>
  </si>
  <si>
    <t>必要月数分</t>
    <rPh sb="0" eb="2">
      <t>ヒツヨウ</t>
    </rPh>
    <rPh sb="2" eb="4">
      <t>ツキスウ</t>
    </rPh>
    <rPh sb="4" eb="5">
      <t>ブン</t>
    </rPh>
    <phoneticPr fontId="1"/>
  </si>
  <si>
    <t>住民税賦課期日</t>
    <rPh sb="0" eb="3">
      <t>ジュウミンゼイ</t>
    </rPh>
    <rPh sb="3" eb="5">
      <t>フカ</t>
    </rPh>
    <rPh sb="5" eb="7">
      <t>キジツ</t>
    </rPh>
    <phoneticPr fontId="1"/>
  </si>
  <si>
    <t>生年月日</t>
    <rPh sb="0" eb="4">
      <t>セイネンガッピ</t>
    </rPh>
    <phoneticPr fontId="1"/>
  </si>
  <si>
    <t>年金65フラグ</t>
    <rPh sb="0" eb="2">
      <t>ネンキン</t>
    </rPh>
    <phoneticPr fontId="1"/>
  </si>
  <si>
    <t>住民税賦課期日65歳以上</t>
    <rPh sb="0" eb="3">
      <t>ジュウミンゼイ</t>
    </rPh>
    <rPh sb="3" eb="5">
      <t>フカ</t>
    </rPh>
    <rPh sb="5" eb="7">
      <t>キジツ</t>
    </rPh>
    <rPh sb="9" eb="10">
      <t>サイ</t>
    </rPh>
    <rPh sb="10" eb="12">
      <t>イジョウ</t>
    </rPh>
    <phoneticPr fontId="1"/>
  </si>
  <si>
    <t>世帯員１</t>
    <rPh sb="0" eb="3">
      <t>セタイイン</t>
    </rPh>
    <phoneticPr fontId="1"/>
  </si>
  <si>
    <t>世帯員２</t>
    <rPh sb="0" eb="3">
      <t>セタイイン</t>
    </rPh>
    <phoneticPr fontId="1"/>
  </si>
  <si>
    <t>世帯員３</t>
    <rPh sb="0" eb="3">
      <t>セタイイン</t>
    </rPh>
    <phoneticPr fontId="1"/>
  </si>
  <si>
    <t>世帯員４</t>
    <rPh sb="0" eb="3">
      <t>セタイイン</t>
    </rPh>
    <phoneticPr fontId="1"/>
  </si>
  <si>
    <t>世帯員５</t>
    <rPh sb="0" eb="3">
      <t>セタイイン</t>
    </rPh>
    <phoneticPr fontId="1"/>
  </si>
  <si>
    <t>世帯員６</t>
    <rPh sb="0" eb="3">
      <t>セタイイン</t>
    </rPh>
    <phoneticPr fontId="1"/>
  </si>
  <si>
    <t>世帯員７</t>
    <rPh sb="0" eb="3">
      <t>セタイイン</t>
    </rPh>
    <phoneticPr fontId="1"/>
  </si>
  <si>
    <t>世帯員８</t>
    <rPh sb="0" eb="3">
      <t>セタイイン</t>
    </rPh>
    <phoneticPr fontId="1"/>
  </si>
  <si>
    <t>世帯員９</t>
    <rPh sb="0" eb="3">
      <t>セタイイン</t>
    </rPh>
    <phoneticPr fontId="1"/>
  </si>
  <si>
    <t>・生年月日は和暦で入力して下さい</t>
    <rPh sb="1" eb="3">
      <t>セイネン</t>
    </rPh>
    <rPh sb="3" eb="5">
      <t>ガッピ</t>
    </rPh>
    <rPh sb="6" eb="8">
      <t>ワレキ</t>
    </rPh>
    <rPh sb="9" eb="11">
      <t>ニュウリョク</t>
    </rPh>
    <rPh sb="13" eb="14">
      <t>クダ</t>
    </rPh>
    <phoneticPr fontId="1"/>
  </si>
  <si>
    <t>・世帯主と加入する方以外の枠は空欄にして下さい。</t>
    <rPh sb="1" eb="4">
      <t>セタイヌシ</t>
    </rPh>
    <rPh sb="5" eb="7">
      <t>カニュウ</t>
    </rPh>
    <rPh sb="9" eb="10">
      <t>カタ</t>
    </rPh>
    <rPh sb="10" eb="12">
      <t>イガイ</t>
    </rPh>
    <rPh sb="13" eb="14">
      <t>ワク</t>
    </rPh>
    <rPh sb="20" eb="21">
      <t>クダ</t>
    </rPh>
    <phoneticPr fontId="1"/>
  </si>
  <si>
    <t>●本年度の国民健康保険税</t>
    <rPh sb="1" eb="4">
      <t>ホンネンド</t>
    </rPh>
    <rPh sb="5" eb="7">
      <t>コクミン</t>
    </rPh>
    <rPh sb="7" eb="9">
      <t>ケンコウ</t>
    </rPh>
    <rPh sb="9" eb="11">
      <t>ホケン</t>
    </rPh>
    <rPh sb="11" eb="12">
      <t>ゼイ</t>
    </rPh>
    <phoneticPr fontId="1"/>
  </si>
  <si>
    <t>最初に、こちらをよくご覧下さい</t>
    <rPh sb="0" eb="2">
      <t>サイショ</t>
    </rPh>
    <rPh sb="11" eb="12">
      <t>ラン</t>
    </rPh>
    <rPh sb="12" eb="13">
      <t>クダ</t>
    </rPh>
    <phoneticPr fontId="1"/>
  </si>
  <si>
    <t>※注意事項※</t>
    <rPh sb="1" eb="3">
      <t>チュウイ</t>
    </rPh>
    <rPh sb="3" eb="5">
      <t>ジコウ</t>
    </rPh>
    <phoneticPr fontId="1"/>
  </si>
  <si>
    <t xml:space="preserve">
</t>
    <phoneticPr fontId="1"/>
  </si>
  <si>
    <t>〇国の軽減制度</t>
    <phoneticPr fontId="1"/>
  </si>
  <si>
    <t>世帯の前年所得金額の合計が下記の表にあてはまる場合、その金額に応じて均等割・平等割の金額から7割・5割・2割を減額します。</t>
    <phoneticPr fontId="1"/>
  </si>
  <si>
    <t>※軽減判定所得とは、世帯主（国保に加入していない世帯主を含む）、被保険者及び特定同一所属者の所得金額の合計です。
※一定の給与所得者等 とは、 世帯主（国保に加入していない世帯主を含む）、被保険者及び特定同一所属者のうち、給与収入が55万円を超える方、 又は公的年金の収入が60万円を超える65歳未満の方、公的年金の収入が125万円を超える65歳以上の方（1月1日時点の年齢）を指します。</t>
    <phoneticPr fontId="1"/>
  </si>
  <si>
    <r>
      <t>●</t>
    </r>
    <r>
      <rPr>
        <b/>
        <u/>
        <sz val="14"/>
        <color theme="1"/>
        <rFont val="游ゴシック"/>
        <family val="3"/>
        <charset val="128"/>
      </rPr>
      <t>世帯主</t>
    </r>
    <r>
      <rPr>
        <b/>
        <sz val="14"/>
        <color theme="1"/>
        <rFont val="游ゴシック"/>
        <family val="3"/>
        <charset val="128"/>
      </rPr>
      <t>　と　</t>
    </r>
    <r>
      <rPr>
        <b/>
        <u/>
        <sz val="14"/>
        <color theme="1"/>
        <rFont val="游ゴシック"/>
        <family val="3"/>
        <charset val="128"/>
      </rPr>
      <t>新規で加入する方</t>
    </r>
    <r>
      <rPr>
        <b/>
        <sz val="14"/>
        <color theme="1"/>
        <rFont val="游ゴシック"/>
        <family val="3"/>
        <charset val="128"/>
      </rPr>
      <t>　の生年月日と前年の総所得金額等</t>
    </r>
    <rPh sb="1" eb="4">
      <t>セタイヌシ</t>
    </rPh>
    <rPh sb="7" eb="9">
      <t>シンキ</t>
    </rPh>
    <rPh sb="10" eb="12">
      <t>カニュウ</t>
    </rPh>
    <rPh sb="14" eb="15">
      <t>カタ</t>
    </rPh>
    <rPh sb="17" eb="21">
      <t>セイネンガッピ</t>
    </rPh>
    <rPh sb="22" eb="24">
      <t>ゼンネン</t>
    </rPh>
    <rPh sb="25" eb="28">
      <t>ソウショトク</t>
    </rPh>
    <rPh sb="28" eb="30">
      <t>キンガク</t>
    </rPh>
    <rPh sb="30" eb="31">
      <t>トウ</t>
    </rPh>
    <phoneticPr fontId="1"/>
  </si>
  <si>
    <t>対象</t>
    <rPh sb="0" eb="2">
      <t>タイショウ</t>
    </rPh>
    <phoneticPr fontId="1"/>
  </si>
  <si>
    <t>7割</t>
    <rPh sb="1" eb="2">
      <t>ワリ</t>
    </rPh>
    <phoneticPr fontId="1"/>
  </si>
  <si>
    <t>5割</t>
    <rPh sb="1" eb="2">
      <t>ワリ</t>
    </rPh>
    <phoneticPr fontId="1"/>
  </si>
  <si>
    <t>2割</t>
    <rPh sb="1" eb="2">
      <t>ワリ</t>
    </rPh>
    <phoneticPr fontId="1"/>
  </si>
  <si>
    <t>前年の軽減判定所得が、次の金額の合計額（①＋②）以下の世帯</t>
    <phoneticPr fontId="1"/>
  </si>
  <si>
    <t>①43万円</t>
    <phoneticPr fontId="1"/>
  </si>
  <si>
    <t>②(一定の給与所得者等の人数－1)×10万円</t>
    <phoneticPr fontId="1"/>
  </si>
  <si>
    <t>前年の軽減判定所得が、次の金額の合計額（①＋②＋③）以下の世帯</t>
    <phoneticPr fontId="1"/>
  </si>
  <si>
    <t>算定基礎</t>
    <rPh sb="0" eb="4">
      <t>サンテイキソ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</si>
  <si>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</si>
  <si>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</si>
  <si>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</si>
  <si>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</si>
  <si>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生年月日</t>
    <rPh sb="0" eb="4">
      <t>セイネンガッピ</t>
    </rPh>
    <phoneticPr fontId="1"/>
  </si>
  <si>
    <t>～3月までを概算</t>
    <phoneticPr fontId="1"/>
  </si>
  <si>
    <t>対象者1</t>
    <rPh sb="0" eb="3">
      <t>タイショウシャ</t>
    </rPh>
    <phoneticPr fontId="1"/>
  </si>
  <si>
    <t>以上</t>
    <rPh sb="0" eb="2">
      <t>イジョウ</t>
    </rPh>
    <phoneticPr fontId="1"/>
  </si>
  <si>
    <t>合計</t>
    <rPh sb="0" eb="2">
      <t>ゴウケイ</t>
    </rPh>
    <phoneticPr fontId="1"/>
  </si>
  <si>
    <t>軽減</t>
    <rPh sb="0" eb="2">
      <t>ケイゲン</t>
    </rPh>
    <phoneticPr fontId="1"/>
  </si>
  <si>
    <t>軽減後</t>
    <rPh sb="0" eb="3">
      <t>ケイゲンゴ</t>
    </rPh>
    <phoneticPr fontId="1"/>
  </si>
  <si>
    <t>未：軽減</t>
    <rPh sb="0" eb="1">
      <t>ミ</t>
    </rPh>
    <rPh sb="2" eb="4">
      <t>ケイゲン</t>
    </rPh>
    <phoneticPr fontId="1"/>
  </si>
  <si>
    <t>均等</t>
    <rPh sb="0" eb="2">
      <t>キントウ</t>
    </rPh>
    <phoneticPr fontId="1"/>
  </si>
  <si>
    <t>軽減：未</t>
    <rPh sb="0" eb="2">
      <t>ケイゲン</t>
    </rPh>
    <rPh sb="3" eb="4">
      <t>ミ</t>
    </rPh>
    <phoneticPr fontId="1"/>
  </si>
  <si>
    <t>医療12か月分</t>
    <rPh sb="0" eb="2">
      <t>イリョウ</t>
    </rPh>
    <rPh sb="5" eb="7">
      <t>ゲツブン</t>
    </rPh>
    <phoneticPr fontId="1"/>
  </si>
  <si>
    <t>支援12か月分</t>
    <rPh sb="0" eb="2">
      <t>シエン</t>
    </rPh>
    <rPh sb="5" eb="7">
      <t>ゲツブン</t>
    </rPh>
    <phoneticPr fontId="1"/>
  </si>
  <si>
    <t>軽減表記</t>
    <rPh sb="0" eb="2">
      <t>ケイゲン</t>
    </rPh>
    <rPh sb="2" eb="4">
      <t>ヒョウキ</t>
    </rPh>
    <phoneticPr fontId="1"/>
  </si>
  <si>
    <t>※未就学児均等割軽減適用後の税額です。</t>
    <rPh sb="1" eb="5">
      <t>ミシュウガクジ</t>
    </rPh>
    <rPh sb="5" eb="8">
      <t>キントウワ</t>
    </rPh>
    <rPh sb="8" eb="10">
      <t>ケイゲン</t>
    </rPh>
    <rPh sb="10" eb="13">
      <t>テキヨウゴ</t>
    </rPh>
    <rPh sb="14" eb="16">
      <t>ゼイガク</t>
    </rPh>
    <phoneticPr fontId="1"/>
  </si>
  <si>
    <t>未就学児均等割軽減</t>
    <rPh sb="0" eb="4">
      <t>ミシュウガクジ</t>
    </rPh>
    <rPh sb="4" eb="7">
      <t>キントウワ</t>
    </rPh>
    <rPh sb="7" eb="9">
      <t>ケイゲン</t>
    </rPh>
    <phoneticPr fontId="1"/>
  </si>
  <si>
    <t>未就学児（6歳に達する日以後の最初の3月31日以前である被保険者）にかかる均等割について、その5割を軽減します。ただし、上記の7～2割の軽減が適用されている場合は、その残額に対して5割を軽減します。</t>
    <rPh sb="0" eb="4">
      <t>ミシュウガクジ</t>
    </rPh>
    <rPh sb="6" eb="7">
      <t>サイ</t>
    </rPh>
    <rPh sb="8" eb="9">
      <t>タッ</t>
    </rPh>
    <rPh sb="11" eb="12">
      <t>ヒ</t>
    </rPh>
    <rPh sb="12" eb="14">
      <t>イゴ</t>
    </rPh>
    <rPh sb="15" eb="17">
      <t>サイショ</t>
    </rPh>
    <rPh sb="19" eb="20">
      <t>ガツ</t>
    </rPh>
    <rPh sb="22" eb="23">
      <t>ニチ</t>
    </rPh>
    <rPh sb="23" eb="25">
      <t>イゼン</t>
    </rPh>
    <rPh sb="28" eb="32">
      <t>ヒホケンシャ</t>
    </rPh>
    <rPh sb="37" eb="40">
      <t>キントウワリ</t>
    </rPh>
    <rPh sb="48" eb="49">
      <t>ワリ</t>
    </rPh>
    <rPh sb="50" eb="52">
      <t>ケイゲン</t>
    </rPh>
    <rPh sb="60" eb="62">
      <t>ジョウキ</t>
    </rPh>
    <rPh sb="66" eb="67">
      <t>ワリ</t>
    </rPh>
    <rPh sb="68" eb="70">
      <t>ケイゲン</t>
    </rPh>
    <rPh sb="71" eb="73">
      <t>テキヨウ</t>
    </rPh>
    <rPh sb="78" eb="80">
      <t>バアイ</t>
    </rPh>
    <rPh sb="84" eb="86">
      <t>ザンガク</t>
    </rPh>
    <rPh sb="87" eb="88">
      <t>タイ</t>
    </rPh>
    <rPh sb="91" eb="92">
      <t>ワリ</t>
    </rPh>
    <rPh sb="93" eb="95">
      <t>ケイゲン</t>
    </rPh>
    <phoneticPr fontId="1"/>
  </si>
  <si>
    <t>有効フラグ</t>
    <rPh sb="0" eb="2">
      <t>ユウコウ</t>
    </rPh>
    <phoneticPr fontId="1"/>
  </si>
  <si>
    <t>無効表記</t>
    <rPh sb="0" eb="2">
      <t>ムコウ</t>
    </rPh>
    <rPh sb="2" eb="4">
      <t>ヒョウキ</t>
    </rPh>
    <phoneticPr fontId="1"/>
  </si>
  <si>
    <t>世帯主の情報が未入力です。</t>
    <rPh sb="0" eb="3">
      <t>セタイヌシ</t>
    </rPh>
    <rPh sb="4" eb="6">
      <t>ジョウホウ</t>
    </rPh>
    <rPh sb="7" eb="10">
      <t>ミニュウリョク</t>
    </rPh>
    <phoneticPr fontId="1"/>
  </si>
  <si>
    <t>・軽減判定に影響するため、世帯主の収入・所得も必ず入力してください。</t>
    <rPh sb="1" eb="5">
      <t>ケイゲンハンテイ</t>
    </rPh>
    <rPh sb="6" eb="8">
      <t>エイキョウ</t>
    </rPh>
    <rPh sb="13" eb="16">
      <t>セタイヌシ</t>
    </rPh>
    <rPh sb="17" eb="19">
      <t>シュウニュウ</t>
    </rPh>
    <rPh sb="20" eb="22">
      <t>ショトク</t>
    </rPh>
    <rPh sb="23" eb="24">
      <t>カナラ</t>
    </rPh>
    <rPh sb="25" eb="27">
      <t>ニュウリョク</t>
    </rPh>
    <phoneticPr fontId="1"/>
  </si>
  <si>
    <t>・今年度75歳になられる方は誕生日から後期高齢者医療となるため、この</t>
    <rPh sb="1" eb="4">
      <t>コンネンド</t>
    </rPh>
    <rPh sb="12" eb="13">
      <t>カタ</t>
    </rPh>
    <rPh sb="14" eb="17">
      <t>タンジョウビ</t>
    </rPh>
    <rPh sb="23" eb="24">
      <t>シャ</t>
    </rPh>
    <phoneticPr fontId="1"/>
  </si>
  <si>
    <t>　計算シートでは計算できません。また、既に75歳以上の方及び国保に加入</t>
    <rPh sb="23" eb="24">
      <t>サイ</t>
    </rPh>
    <rPh sb="24" eb="26">
      <t>イジョウ</t>
    </rPh>
    <rPh sb="27" eb="28">
      <t>カタ</t>
    </rPh>
    <rPh sb="28" eb="29">
      <t>オヨ</t>
    </rPh>
    <phoneticPr fontId="1"/>
  </si>
  <si>
    <t>　している方がいる場合も正しく計算されません。</t>
    <phoneticPr fontId="1"/>
  </si>
  <si>
    <t>加入の入力あり</t>
    <rPh sb="0" eb="2">
      <t>カニュウ</t>
    </rPh>
    <rPh sb="3" eb="5">
      <t>ニュウリョク</t>
    </rPh>
    <phoneticPr fontId="1"/>
  </si>
  <si>
    <t>有効フラグ判定：OKなら1</t>
    <rPh sb="0" eb="2">
      <t>ユウコウ</t>
    </rPh>
    <rPh sb="5" eb="7">
      <t>ハンテイ</t>
    </rPh>
    <phoneticPr fontId="1"/>
  </si>
  <si>
    <t>年号入力あり</t>
    <rPh sb="0" eb="2">
      <t>ネンゴウ</t>
    </rPh>
    <rPh sb="2" eb="4">
      <t>ニュウリョク</t>
    </rPh>
    <phoneticPr fontId="1"/>
  </si>
  <si>
    <t>年入力あり</t>
    <rPh sb="0" eb="1">
      <t>ネン</t>
    </rPh>
    <rPh sb="1" eb="3">
      <t>ニュウリョク</t>
    </rPh>
    <phoneticPr fontId="1"/>
  </si>
  <si>
    <t>月入力あり</t>
    <rPh sb="0" eb="1">
      <t>ツキ</t>
    </rPh>
    <rPh sb="1" eb="3">
      <t>ニュウリョク</t>
    </rPh>
    <phoneticPr fontId="1"/>
  </si>
  <si>
    <t>日入力あり</t>
    <rPh sb="0" eb="1">
      <t>ニチ</t>
    </rPh>
    <rPh sb="1" eb="3">
      <t>ニュウリョク</t>
    </rPh>
    <phoneticPr fontId="1"/>
  </si>
  <si>
    <t>判定なし</t>
    <rPh sb="0" eb="2">
      <t>ハンテイ</t>
    </rPh>
    <phoneticPr fontId="1"/>
  </si>
  <si>
    <t>生年月日が１年後以内</t>
    <rPh sb="0" eb="4">
      <t>セイネンガッピ</t>
    </rPh>
    <rPh sb="6" eb="8">
      <t>ネンゴ</t>
    </rPh>
    <rPh sb="8" eb="10">
      <t>イナイ</t>
    </rPh>
    <phoneticPr fontId="1"/>
  </si>
  <si>
    <t>加入するの場合生年月日が74以前</t>
    <rPh sb="0" eb="2">
      <t>カニュウ</t>
    </rPh>
    <rPh sb="5" eb="7">
      <t>バアイ</t>
    </rPh>
    <rPh sb="7" eb="11">
      <t>セイネンガッピ</t>
    </rPh>
    <rPh sb="14" eb="16">
      <t>イゼン</t>
    </rPh>
    <phoneticPr fontId="1"/>
  </si>
  <si>
    <t>賦課期日時点75</t>
    <rPh sb="0" eb="6">
      <t>フカキジツジテン</t>
    </rPh>
    <phoneticPr fontId="1"/>
  </si>
  <si>
    <t>判定</t>
    <rPh sb="0" eb="2">
      <t>ハンテイ</t>
    </rPh>
    <phoneticPr fontId="1"/>
  </si>
  <si>
    <r>
      <t>給与</t>
    </r>
    <r>
      <rPr>
        <b/>
        <sz val="12"/>
        <color theme="1"/>
        <rFont val="游ゴシック"/>
        <family val="3"/>
        <charset val="128"/>
      </rPr>
      <t>収入</t>
    </r>
    <rPh sb="0" eb="2">
      <t>キュウヨ</t>
    </rPh>
    <rPh sb="2" eb="4">
      <t>シュウニュウ</t>
    </rPh>
    <phoneticPr fontId="1"/>
  </si>
  <si>
    <r>
      <t>年金</t>
    </r>
    <r>
      <rPr>
        <b/>
        <sz val="12"/>
        <color theme="1"/>
        <rFont val="游ゴシック"/>
        <family val="3"/>
        <charset val="128"/>
      </rPr>
      <t>収入</t>
    </r>
    <rPh sb="0" eb="2">
      <t>ネンキン</t>
    </rPh>
    <rPh sb="2" eb="4">
      <t>シュウニュウ</t>
    </rPh>
    <phoneticPr fontId="1"/>
  </si>
  <si>
    <r>
      <t>給与-年金以外の</t>
    </r>
    <r>
      <rPr>
        <b/>
        <sz val="12"/>
        <color theme="1"/>
        <rFont val="游ゴシック"/>
        <family val="3"/>
        <charset val="128"/>
      </rPr>
      <t>所得</t>
    </r>
    <rPh sb="0" eb="2">
      <t>キュウヨ</t>
    </rPh>
    <rPh sb="3" eb="5">
      <t>ネンキン</t>
    </rPh>
    <rPh sb="5" eb="7">
      <t>イガイ</t>
    </rPh>
    <rPh sb="8" eb="10">
      <t>ショトク</t>
    </rPh>
    <phoneticPr fontId="1"/>
  </si>
  <si>
    <r>
      <t>所得</t>
    </r>
    <r>
      <rPr>
        <sz val="12"/>
        <color theme="1"/>
        <rFont val="游ゴシック"/>
        <family val="3"/>
        <charset val="128"/>
      </rPr>
      <t>合計</t>
    </r>
    <rPh sb="0" eb="2">
      <t>ショトク</t>
    </rPh>
    <rPh sb="2" eb="4">
      <t>ゴウケイ</t>
    </rPh>
    <phoneticPr fontId="1"/>
  </si>
  <si>
    <t>計算
対象</t>
    <rPh sb="0" eb="2">
      <t>ケイサン</t>
    </rPh>
    <rPh sb="3" eb="5">
      <t>タイショウ</t>
    </rPh>
    <phoneticPr fontId="1"/>
  </si>
  <si>
    <t>世帯主は加入しますか？</t>
    <rPh sb="0" eb="3">
      <t>セタイヌシ</t>
    </rPh>
    <rPh sb="4" eb="6">
      <t>カニュウ</t>
    </rPh>
    <phoneticPr fontId="1"/>
  </si>
  <si>
    <t>か月分</t>
    <phoneticPr fontId="1"/>
  </si>
  <si>
    <t>・この概算表では市の独自減免は適用されておりません。実際には所得等の</t>
    <rPh sb="3" eb="6">
      <t>ガイサンヒョウ</t>
    </rPh>
    <rPh sb="8" eb="9">
      <t>シ</t>
    </rPh>
    <rPh sb="10" eb="12">
      <t>ドクジ</t>
    </rPh>
    <rPh sb="12" eb="14">
      <t>ゲンメン</t>
    </rPh>
    <rPh sb="15" eb="17">
      <t>テキヨウ</t>
    </rPh>
    <rPh sb="26" eb="28">
      <t>ジッサイ</t>
    </rPh>
    <rPh sb="30" eb="32">
      <t>ショトク</t>
    </rPh>
    <rPh sb="32" eb="33">
      <t>ナド</t>
    </rPh>
    <phoneticPr fontId="1"/>
  </si>
  <si>
    <t>　状況により、適用される場合があります。</t>
    <phoneticPr fontId="1"/>
  </si>
  <si>
    <t>・この概算表で計算した税額については概算になります。</t>
    <rPh sb="3" eb="5">
      <t>ガイサン</t>
    </rPh>
    <rPh sb="5" eb="6">
      <t>ヒョウ</t>
    </rPh>
    <rPh sb="7" eb="9">
      <t>ケイサン</t>
    </rPh>
    <rPh sb="11" eb="13">
      <t>ゼイガク</t>
    </rPh>
    <rPh sb="18" eb="20">
      <t>ガイサン</t>
    </rPh>
    <phoneticPr fontId="1"/>
  </si>
  <si>
    <t>　・土地等譲渡の際に特別控除を適用した場合</t>
    <rPh sb="2" eb="5">
      <t>トチトウ</t>
    </rPh>
    <rPh sb="5" eb="7">
      <t>ジョウト</t>
    </rPh>
    <rPh sb="8" eb="9">
      <t>サイ</t>
    </rPh>
    <rPh sb="10" eb="14">
      <t>トクベツコウジョ</t>
    </rPh>
    <rPh sb="15" eb="17">
      <t>テキヨウ</t>
    </rPh>
    <rPh sb="19" eb="21">
      <t>バアイ</t>
    </rPh>
    <phoneticPr fontId="1"/>
  </si>
  <si>
    <t>未就学児均等割軽減</t>
    <rPh sb="0" eb="4">
      <t>ミシュウガクジ</t>
    </rPh>
    <rPh sb="4" eb="7">
      <t>キントウワリ</t>
    </rPh>
    <rPh sb="7" eb="9">
      <t>ケイゲン</t>
    </rPh>
    <phoneticPr fontId="1"/>
  </si>
  <si>
    <t>　・入力した所得等が実際とは異なる場合　・専従者給与/控除がある場合</t>
    <rPh sb="8" eb="9">
      <t>トウ</t>
    </rPh>
    <rPh sb="10" eb="12">
      <t>ジッサイ</t>
    </rPh>
    <rPh sb="27" eb="29">
      <t>コウジョ</t>
    </rPh>
    <phoneticPr fontId="1"/>
  </si>
  <si>
    <t>5割軽減</t>
    <rPh sb="1" eb="2">
      <t>ワリ</t>
    </rPh>
    <rPh sb="2" eb="4">
      <t>ケイゲン</t>
    </rPh>
    <phoneticPr fontId="1"/>
  </si>
  <si>
    <t>2割軽減</t>
    <rPh sb="1" eb="2">
      <t>ワリ</t>
    </rPh>
    <rPh sb="2" eb="4">
      <t>ケイゲン</t>
    </rPh>
    <phoneticPr fontId="1"/>
  </si>
  <si>
    <t>軽減の人数加算額</t>
    <rPh sb="0" eb="2">
      <t>ケイゲン</t>
    </rPh>
    <rPh sb="3" eb="5">
      <t>ニンズウ</t>
    </rPh>
    <rPh sb="5" eb="8">
      <t>カサンガク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</si>
  <si>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</si>
  <si>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</si>
  <si>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</si>
  <si>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</si>
  <si>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</si>
  <si>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</si>
  <si>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</si>
  <si>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</si>
  <si>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</si>
  <si>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</si>
  <si>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</si>
  <si>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</si>
  <si>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加入期間</t>
    <rPh sb="0" eb="4">
      <t>カニュウキカン</t>
    </rPh>
    <phoneticPr fontId="1"/>
  </si>
  <si>
    <t>月～3月</t>
    <rPh sb="0" eb="1">
      <t>ガツ</t>
    </rPh>
    <rPh sb="3" eb="4">
      <t>ガツ</t>
    </rPh>
    <phoneticPr fontId="1"/>
  </si>
  <si>
    <t>変換</t>
    <rPh sb="0" eb="2">
      <t>ヘンカン</t>
    </rPh>
    <phoneticPr fontId="1"/>
  </si>
  <si>
    <t>生年月日</t>
    <rPh sb="0" eb="4">
      <t>セイネンガッピ</t>
    </rPh>
    <phoneticPr fontId="1"/>
  </si>
  <si>
    <t>～15</t>
    <phoneticPr fontId="1"/>
  </si>
  <si>
    <t>65判定</t>
    <rPh sb="2" eb="4">
      <t>ハンテイ</t>
    </rPh>
    <phoneticPr fontId="1"/>
  </si>
  <si>
    <t>算定基礎</t>
    <rPh sb="0" eb="2">
      <t>サンテイ</t>
    </rPh>
    <rPh sb="2" eb="4">
      <t>キソ</t>
    </rPh>
    <phoneticPr fontId="1"/>
  </si>
  <si>
    <t>所得割（月割）</t>
    <rPh sb="0" eb="3">
      <t>ショトクワリ</t>
    </rPh>
    <rPh sb="4" eb="6">
      <t>ツキワ</t>
    </rPh>
    <phoneticPr fontId="1"/>
  </si>
  <si>
    <t>②＋③介護分合計</t>
    <rPh sb="3" eb="5">
      <t>カイゴ</t>
    </rPh>
    <rPh sb="5" eb="6">
      <t>ブン</t>
    </rPh>
    <rPh sb="6" eb="8">
      <t>ゴウケイ</t>
    </rPh>
    <phoneticPr fontId="1"/>
  </si>
  <si>
    <t>限度額月割</t>
    <rPh sb="0" eb="3">
      <t>ゲンドガク</t>
    </rPh>
    <rPh sb="3" eb="5">
      <t>ツキワ</t>
    </rPh>
    <phoneticPr fontId="1"/>
  </si>
  <si>
    <t>小さい方</t>
    <rPh sb="0" eb="1">
      <t>チイ</t>
    </rPh>
    <rPh sb="3" eb="4">
      <t>ホウ</t>
    </rPh>
    <phoneticPr fontId="1"/>
  </si>
  <si>
    <t>計</t>
    <rPh sb="0" eb="1">
      <t>ケイ</t>
    </rPh>
    <phoneticPr fontId="1"/>
  </si>
  <si>
    <t>限度額超過分</t>
    <rPh sb="0" eb="6">
      <t>ゲンドガクチョウカブン</t>
    </rPh>
    <phoneticPr fontId="1"/>
  </si>
  <si>
    <t>介護2号判定シート参照</t>
    <rPh sb="0" eb="2">
      <t>カイゴ</t>
    </rPh>
    <rPh sb="3" eb="4">
      <t>ゴウ</t>
    </rPh>
    <rPh sb="4" eb="6">
      <t>ハンテイ</t>
    </rPh>
    <rPh sb="9" eb="11">
      <t>サンショウ</t>
    </rPh>
    <phoneticPr fontId="1"/>
  </si>
  <si>
    <t>介護2号判定シート参照</t>
    <phoneticPr fontId="1"/>
  </si>
  <si>
    <t>軽減後</t>
    <rPh sb="0" eb="3">
      <t>ケイゲンゴ</t>
    </rPh>
    <phoneticPr fontId="1"/>
  </si>
  <si>
    <t>均等割（月額）</t>
    <rPh sb="0" eb="3">
      <t>キントウワリ</t>
    </rPh>
    <rPh sb="4" eb="6">
      <t>ゲツガク</t>
    </rPh>
    <phoneticPr fontId="1"/>
  </si>
  <si>
    <t>平等割（月額）</t>
    <rPh sb="0" eb="3">
      <t>ビョウドウワリ</t>
    </rPh>
    <rPh sb="4" eb="6">
      <t>ゲツガク</t>
    </rPh>
    <phoneticPr fontId="1"/>
  </si>
  <si>
    <t>介護分の月数</t>
    <rPh sb="0" eb="2">
      <t>カイゴ</t>
    </rPh>
    <rPh sb="2" eb="3">
      <t>ブン</t>
    </rPh>
    <rPh sb="4" eb="6">
      <t>ツキスウ</t>
    </rPh>
    <phoneticPr fontId="1"/>
  </si>
  <si>
    <t>加入期間（医療分、支援分賦課期間）</t>
    <rPh sb="0" eb="4">
      <t>カニュウキカン</t>
    </rPh>
    <rPh sb="5" eb="7">
      <t>イリョウ</t>
    </rPh>
    <rPh sb="7" eb="8">
      <t>ブン</t>
    </rPh>
    <rPh sb="9" eb="11">
      <t>シエン</t>
    </rPh>
    <rPh sb="11" eb="12">
      <t>ブン</t>
    </rPh>
    <rPh sb="12" eb="14">
      <t>フカ</t>
    </rPh>
    <rPh sb="14" eb="16">
      <t>キカン</t>
    </rPh>
    <phoneticPr fontId="1"/>
  </si>
  <si>
    <t>介護分賦課期間</t>
    <rPh sb="0" eb="2">
      <t>カイゴ</t>
    </rPh>
    <rPh sb="2" eb="3">
      <t>ブン</t>
    </rPh>
    <rPh sb="3" eb="5">
      <t>フカ</t>
    </rPh>
    <rPh sb="5" eb="7">
      <t>キカン</t>
    </rPh>
    <phoneticPr fontId="1"/>
  </si>
  <si>
    <t>①介護所得割</t>
    <rPh sb="1" eb="3">
      <t>カイゴ</t>
    </rPh>
    <rPh sb="3" eb="6">
      <t>ショトクワリ</t>
    </rPh>
    <phoneticPr fontId="1"/>
  </si>
  <si>
    <t>介護人数</t>
    <rPh sb="0" eb="2">
      <t>カイゴ</t>
    </rPh>
    <rPh sb="2" eb="4">
      <t>ニンズウ</t>
    </rPh>
    <phoneticPr fontId="1"/>
  </si>
  <si>
    <t>②介護均等割</t>
    <rPh sb="1" eb="3">
      <t>カイゴ</t>
    </rPh>
    <rPh sb="3" eb="6">
      <t>キントウワリ</t>
    </rPh>
    <phoneticPr fontId="1"/>
  </si>
  <si>
    <t>③介護平等割</t>
    <rPh sb="1" eb="3">
      <t>カイゴ</t>
    </rPh>
    <rPh sb="3" eb="6">
      <t>ビョウドウワリ</t>
    </rPh>
    <phoneticPr fontId="1"/>
  </si>
  <si>
    <t>軽減割合</t>
    <rPh sb="0" eb="4">
      <t>ケイゲンワリアイ</t>
    </rPh>
    <phoneticPr fontId="1"/>
  </si>
  <si>
    <t>計</t>
    <rPh sb="0" eb="1">
      <t>ケイ</t>
    </rPh>
    <phoneticPr fontId="1"/>
  </si>
  <si>
    <t>-</t>
    <phoneticPr fontId="1"/>
  </si>
  <si>
    <t>④軽減均等割</t>
    <rPh sb="1" eb="3">
      <t>ケイゲン</t>
    </rPh>
    <rPh sb="3" eb="6">
      <t>キントウワリ</t>
    </rPh>
    <phoneticPr fontId="1"/>
  </si>
  <si>
    <t>⑤軽減平等割</t>
    <rPh sb="1" eb="3">
      <t>ケイゲン</t>
    </rPh>
    <rPh sb="3" eb="6">
      <t>ビョウドウワリ</t>
    </rPh>
    <phoneticPr fontId="1"/>
  </si>
  <si>
    <t>①＋②＋③</t>
    <phoneticPr fontId="1"/>
  </si>
  <si>
    <t>④＋⑤</t>
    <phoneticPr fontId="1"/>
  </si>
  <si>
    <t>基礎課税額⑥</t>
    <rPh sb="0" eb="2">
      <t>キソ</t>
    </rPh>
    <rPh sb="2" eb="4">
      <t>カゼイ</t>
    </rPh>
    <rPh sb="4" eb="5">
      <t>ガク</t>
    </rPh>
    <phoneticPr fontId="1"/>
  </si>
  <si>
    <t>軽減額⑦</t>
    <rPh sb="0" eb="2">
      <t>ケイゲン</t>
    </rPh>
    <rPh sb="2" eb="3">
      <t>ガク</t>
    </rPh>
    <phoneticPr fontId="1"/>
  </si>
  <si>
    <t>⑥ー⑦</t>
    <phoneticPr fontId="1"/>
  </si>
  <si>
    <t>限度超過額</t>
    <rPh sb="0" eb="4">
      <t>ゲンドチョウカ</t>
    </rPh>
    <rPh sb="4" eb="5">
      <t>ガク</t>
    </rPh>
    <phoneticPr fontId="1"/>
  </si>
  <si>
    <t>　などの場合、実際の税額と異なる場合があります。</t>
    <rPh sb="4" eb="6">
      <t>バアイ</t>
    </rPh>
    <rPh sb="7" eb="9">
      <t>ジッサイ</t>
    </rPh>
    <phoneticPr fontId="1"/>
  </si>
  <si>
    <t>加入する</t>
  </si>
  <si>
    <t>③(被保険者と特定同一世帯所属者の人数)×29万5千円</t>
    <rPh sb="25" eb="26">
      <t>セン</t>
    </rPh>
    <phoneticPr fontId="1"/>
  </si>
  <si>
    <t>③(被保険者と特定同一世帯所属者の人数)×54万5千円</t>
    <rPh sb="25" eb="26">
      <t>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</si>
</sst>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&quot;か&quot;&quot;月&quot;&quot;分&quot;"/>
    <numFmt numFmtId="177" formatCode="0&quot;割&quot;"/>
    <numFmt numFmtId="178" formatCode="#,##0;&quot;△ &quot;#,##0"/>
    <numFmt numFmtId="179" formatCode="0&quot;月&quot;&quot;か&quot;&quot;ら&quot;"/>
    <numFmt numFmtId="180" formatCode="0&quot;月&quot;&quot;ま&quot;&quot;で&quot;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Arial"/>
      <family val="2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20"/>
      <color rgb="FFFF0000"/>
      <name val="游ゴシック"/>
      <family val="3"/>
      <charset val="128"/>
    </font>
    <font>
      <sz val="16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28"/>
      <color theme="1"/>
      <name val="游ゴシック"/>
      <family val="3"/>
      <charset val="128"/>
    </font>
    <font>
      <b/>
      <u/>
      <sz val="14"/>
      <color theme="1"/>
      <name val="游ゴシック"/>
      <family val="3"/>
      <charset val="128"/>
    </font>
    <font>
      <sz val="22"/>
      <color theme="1"/>
      <name val="游ゴシック"/>
      <family val="3"/>
      <charset val="128"/>
    </font>
    <font>
      <u/>
      <sz val="16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游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/>
    <xf numFmtId="0" fontId="3" fillId="0" borderId="0"/>
  </cellStyleXfs>
  <cellXfs count="30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10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10" fontId="0" fillId="0" borderId="0" xfId="0" applyNumberFormat="1" applyBorder="1">
      <alignment vertical="center"/>
    </xf>
    <xf numFmtId="0" fontId="0" fillId="5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3" fontId="0" fillId="0" borderId="1" xfId="0" applyNumberFormat="1" applyBorder="1">
      <alignment vertical="center"/>
    </xf>
    <xf numFmtId="3" fontId="0" fillId="5" borderId="1" xfId="0" applyNumberFormat="1" applyFill="1" applyBorder="1">
      <alignment vertical="center"/>
    </xf>
    <xf numFmtId="0" fontId="2" fillId="0" borderId="0" xfId="1" applyProtection="1"/>
    <xf numFmtId="3" fontId="4" fillId="0" borderId="14" xfId="2" applyNumberFormat="1" applyFont="1" applyBorder="1" applyProtection="1"/>
    <xf numFmtId="0" fontId="4" fillId="0" borderId="0" xfId="1" applyFont="1" applyProtection="1"/>
    <xf numFmtId="3" fontId="4" fillId="0" borderId="16" xfId="2" applyNumberFormat="1" applyFont="1" applyBorder="1" applyAlignment="1" applyProtection="1">
      <alignment horizontal="center"/>
    </xf>
    <xf numFmtId="3" fontId="4" fillId="0" borderId="17" xfId="2" applyNumberFormat="1" applyFont="1" applyBorder="1" applyAlignment="1" applyProtection="1"/>
    <xf numFmtId="3" fontId="4" fillId="0" borderId="18" xfId="2" applyNumberFormat="1" applyFont="1" applyBorder="1" applyAlignment="1" applyProtection="1"/>
    <xf numFmtId="3" fontId="4" fillId="0" borderId="19" xfId="2" applyNumberFormat="1" applyFont="1" applyBorder="1" applyAlignment="1" applyProtection="1"/>
    <xf numFmtId="3" fontId="4" fillId="0" borderId="20" xfId="2" applyNumberFormat="1" applyFont="1" applyBorder="1" applyAlignment="1" applyProtection="1">
      <alignment horizontal="right"/>
    </xf>
    <xf numFmtId="3" fontId="4" fillId="0" borderId="21" xfId="2" applyNumberFormat="1" applyFont="1" applyBorder="1" applyAlignment="1" applyProtection="1">
      <alignment horizontal="right"/>
    </xf>
    <xf numFmtId="3" fontId="4" fillId="0" borderId="13" xfId="2" applyNumberFormat="1" applyFont="1" applyBorder="1" applyAlignment="1" applyProtection="1">
      <alignment horizontal="right"/>
    </xf>
    <xf numFmtId="3" fontId="4" fillId="0" borderId="22" xfId="2" applyNumberFormat="1" applyFont="1" applyBorder="1" applyAlignment="1" applyProtection="1">
      <alignment horizontal="right"/>
    </xf>
    <xf numFmtId="3" fontId="4" fillId="0" borderId="23" xfId="2" applyNumberFormat="1" applyFont="1" applyBorder="1" applyAlignment="1" applyProtection="1"/>
    <xf numFmtId="178" fontId="4" fillId="7" borderId="3" xfId="2" applyNumberFormat="1" applyFont="1" applyFill="1" applyBorder="1" applyAlignment="1" applyProtection="1">
      <alignment horizontal="right"/>
    </xf>
    <xf numFmtId="178" fontId="4" fillId="0" borderId="24" xfId="2" applyNumberFormat="1" applyFont="1" applyBorder="1" applyAlignment="1" applyProtection="1">
      <alignment horizontal="right"/>
    </xf>
    <xf numFmtId="178" fontId="4" fillId="0" borderId="1" xfId="2" applyNumberFormat="1" applyFont="1" applyBorder="1" applyAlignment="1" applyProtection="1">
      <alignment horizontal="right"/>
    </xf>
    <xf numFmtId="178" fontId="4" fillId="0" borderId="25" xfId="2" applyNumberFormat="1" applyFont="1" applyBorder="1" applyAlignment="1" applyProtection="1">
      <alignment horizontal="right"/>
    </xf>
    <xf numFmtId="178" fontId="4" fillId="0" borderId="8" xfId="2" applyNumberFormat="1" applyFont="1" applyBorder="1" applyAlignment="1" applyProtection="1">
      <alignment horizontal="right"/>
    </xf>
    <xf numFmtId="178" fontId="4" fillId="8" borderId="3" xfId="2" applyNumberFormat="1" applyFont="1" applyFill="1" applyBorder="1" applyAlignment="1" applyProtection="1">
      <alignment horizontal="right"/>
    </xf>
    <xf numFmtId="178" fontId="4" fillId="0" borderId="24" xfId="2" applyNumberFormat="1" applyFont="1" applyBorder="1" applyAlignment="1" applyProtection="1"/>
    <xf numFmtId="178" fontId="4" fillId="0" borderId="1" xfId="2" applyNumberFormat="1" applyFont="1" applyBorder="1" applyAlignment="1" applyProtection="1"/>
    <xf numFmtId="178" fontId="4" fillId="0" borderId="25" xfId="2" applyNumberFormat="1" applyFont="1" applyBorder="1" applyAlignment="1" applyProtection="1"/>
    <xf numFmtId="178" fontId="4" fillId="0" borderId="8" xfId="2" applyNumberFormat="1" applyFont="1" applyBorder="1" applyAlignment="1" applyProtection="1"/>
    <xf numFmtId="3" fontId="4" fillId="0" borderId="26" xfId="2" applyNumberFormat="1" applyFont="1" applyBorder="1" applyAlignment="1" applyProtection="1">
      <alignment horizontal="center"/>
    </xf>
    <xf numFmtId="3" fontId="4" fillId="0" borderId="27" xfId="2" applyNumberFormat="1" applyFont="1" applyBorder="1" applyAlignment="1" applyProtection="1">
      <alignment horizontal="right"/>
    </xf>
    <xf numFmtId="3" fontId="4" fillId="0" borderId="28" xfId="2" applyNumberFormat="1" applyFont="1" applyBorder="1" applyAlignment="1" applyProtection="1"/>
    <xf numFmtId="3" fontId="4" fillId="6" borderId="1" xfId="2" applyNumberFormat="1" applyFont="1" applyFill="1" applyBorder="1" applyAlignment="1" applyProtection="1">
      <alignment horizontal="right"/>
    </xf>
    <xf numFmtId="0" fontId="4" fillId="0" borderId="12" xfId="1" applyFont="1" applyBorder="1" applyProtection="1"/>
    <xf numFmtId="3" fontId="4" fillId="0" borderId="1" xfId="2" applyNumberFormat="1" applyFont="1" applyBorder="1" applyAlignment="1" applyProtection="1">
      <alignment horizontal="right"/>
    </xf>
    <xf numFmtId="0" fontId="4" fillId="7" borderId="3" xfId="1" applyFont="1" applyFill="1" applyBorder="1" applyAlignment="1" applyProtection="1">
      <alignment horizontal="center" vertical="center"/>
    </xf>
    <xf numFmtId="3" fontId="4" fillId="0" borderId="31" xfId="2" applyNumberFormat="1" applyFont="1" applyBorder="1" applyAlignment="1" applyProtection="1"/>
    <xf numFmtId="3" fontId="4" fillId="0" borderId="32" xfId="2" applyNumberFormat="1" applyFont="1" applyBorder="1" applyAlignment="1" applyProtection="1"/>
    <xf numFmtId="3" fontId="4" fillId="0" borderId="33" xfId="2" applyNumberFormat="1" applyFont="1" applyBorder="1" applyAlignment="1" applyProtection="1"/>
    <xf numFmtId="3" fontId="4" fillId="0" borderId="24" xfId="2" applyNumberFormat="1" applyFont="1" applyBorder="1" applyAlignment="1" applyProtection="1">
      <alignment horizontal="right"/>
    </xf>
    <xf numFmtId="3" fontId="4" fillId="0" borderId="25" xfId="2" applyNumberFormat="1" applyFont="1" applyBorder="1" applyAlignment="1" applyProtection="1">
      <alignment horizontal="right"/>
    </xf>
    <xf numFmtId="0" fontId="4" fillId="8" borderId="3" xfId="1" applyFont="1" applyFill="1" applyBorder="1" applyAlignment="1" applyProtection="1">
      <alignment horizontal="center" vertical="center"/>
    </xf>
    <xf numFmtId="0" fontId="4" fillId="7" borderId="1" xfId="1" applyFont="1" applyFill="1" applyBorder="1" applyAlignment="1" applyProtection="1">
      <alignment horizontal="center" vertical="center"/>
    </xf>
    <xf numFmtId="0" fontId="4" fillId="8" borderId="1" xfId="1" applyFont="1" applyFill="1" applyBorder="1" applyAlignment="1" applyProtection="1">
      <alignment horizontal="center" vertical="center"/>
    </xf>
    <xf numFmtId="178" fontId="4" fillId="0" borderId="1" xfId="2" applyNumberFormat="1" applyFont="1" applyFill="1" applyBorder="1" applyAlignment="1" applyProtection="1">
      <alignment horizontal="right"/>
    </xf>
    <xf numFmtId="178" fontId="4" fillId="0" borderId="24" xfId="2" applyNumberFormat="1" applyFont="1" applyFill="1" applyBorder="1" applyAlignment="1" applyProtection="1">
      <alignment horizontal="right"/>
    </xf>
    <xf numFmtId="178" fontId="4" fillId="0" borderId="25" xfId="2" applyNumberFormat="1" applyFont="1" applyFill="1" applyBorder="1" applyAlignment="1" applyProtection="1">
      <alignment horizontal="right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12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57" fontId="0" fillId="0" borderId="0" xfId="0" applyNumberFormat="1">
      <alignment vertical="center"/>
    </xf>
    <xf numFmtId="180" fontId="0" fillId="11" borderId="1" xfId="0" applyNumberFormat="1" applyFill="1" applyBorder="1">
      <alignment vertical="center"/>
    </xf>
    <xf numFmtId="57" fontId="0" fillId="11" borderId="3" xfId="0" applyNumberFormat="1" applyFill="1" applyBorder="1">
      <alignment vertical="center"/>
    </xf>
    <xf numFmtId="0" fontId="0" fillId="11" borderId="9" xfId="0" applyFill="1" applyBorder="1" applyAlignment="1">
      <alignment horizontal="center" vertical="center"/>
    </xf>
    <xf numFmtId="57" fontId="0" fillId="11" borderId="8" xfId="0" applyNumberFormat="1" applyFill="1" applyBorder="1">
      <alignment vertical="center"/>
    </xf>
    <xf numFmtId="0" fontId="0" fillId="3" borderId="1" xfId="0" applyFill="1" applyBorder="1">
      <alignment vertical="center"/>
    </xf>
    <xf numFmtId="179" fontId="0" fillId="12" borderId="1" xfId="0" applyNumberFormat="1" applyFill="1" applyBorder="1">
      <alignment vertical="center"/>
    </xf>
    <xf numFmtId="57" fontId="0" fillId="12" borderId="3" xfId="0" applyNumberFormat="1" applyFill="1" applyBorder="1">
      <alignment vertical="center"/>
    </xf>
    <xf numFmtId="0" fontId="0" fillId="12" borderId="9" xfId="0" applyFill="1" applyBorder="1" applyAlignment="1">
      <alignment horizontal="center" vertical="center"/>
    </xf>
    <xf numFmtId="57" fontId="0" fillId="12" borderId="8" xfId="0" applyNumberFormat="1" applyFill="1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57" fontId="0" fillId="0" borderId="9" xfId="0" applyNumberFormat="1" applyBorder="1">
      <alignment vertical="center"/>
    </xf>
    <xf numFmtId="0" fontId="0" fillId="0" borderId="0" xfId="0" applyAlignment="1">
      <alignment horizontal="center" vertical="center" wrapText="1"/>
    </xf>
    <xf numFmtId="0" fontId="0" fillId="11" borderId="3" xfId="0" applyFill="1" applyBorder="1">
      <alignment vertical="center"/>
    </xf>
    <xf numFmtId="0" fontId="0" fillId="12" borderId="3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38" xfId="0" applyBorder="1">
      <alignment vertical="center"/>
    </xf>
    <xf numFmtId="0" fontId="0" fillId="11" borderId="40" xfId="0" applyFill="1" applyBorder="1">
      <alignment vertical="center"/>
    </xf>
    <xf numFmtId="0" fontId="0" fillId="12" borderId="40" xfId="0" applyFill="1" applyBorder="1">
      <alignment vertical="center"/>
    </xf>
    <xf numFmtId="0" fontId="0" fillId="0" borderId="41" xfId="0" applyFill="1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0" fontId="0" fillId="4" borderId="13" xfId="0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horizontal="left" wrapText="1"/>
    </xf>
    <xf numFmtId="0" fontId="10" fillId="0" borderId="0" xfId="0" applyFont="1" applyBorder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3" fontId="10" fillId="2" borderId="46" xfId="0" applyNumberFormat="1" applyFont="1" applyFill="1" applyBorder="1" applyAlignment="1" applyProtection="1">
      <alignment horizontal="center" vertical="center"/>
      <protection locked="0"/>
    </xf>
    <xf numFmtId="3" fontId="10" fillId="0" borderId="47" xfId="0" applyNumberFormat="1" applyFont="1" applyFill="1" applyBorder="1" applyAlignment="1" applyProtection="1">
      <alignment horizontal="center" vertical="center"/>
    </xf>
    <xf numFmtId="3" fontId="10" fillId="0" borderId="48" xfId="0" applyNumberFormat="1" applyFont="1" applyFill="1" applyBorder="1" applyAlignment="1" applyProtection="1">
      <alignment horizontal="center" vertical="center"/>
    </xf>
    <xf numFmtId="3" fontId="10" fillId="2" borderId="45" xfId="0" applyNumberFormat="1" applyFont="1" applyFill="1" applyBorder="1" applyAlignment="1" applyProtection="1">
      <alignment horizontal="center" vertical="center"/>
      <protection locked="0"/>
    </xf>
    <xf numFmtId="3" fontId="10" fillId="0" borderId="49" xfId="0" applyNumberFormat="1" applyFont="1" applyFill="1" applyBorder="1" applyAlignment="1" applyProtection="1">
      <alignment horizontal="center" vertical="center"/>
    </xf>
    <xf numFmtId="0" fontId="10" fillId="2" borderId="45" xfId="0" applyFont="1" applyFill="1" applyBorder="1" applyAlignment="1" applyProtection="1">
      <alignment horizontal="center" vertical="center"/>
      <protection locked="0"/>
    </xf>
    <xf numFmtId="0" fontId="10" fillId="0" borderId="50" xfId="0" applyFont="1" applyBorder="1" applyAlignment="1">
      <alignment horizontal="center" vertical="center"/>
    </xf>
    <xf numFmtId="0" fontId="10" fillId="2" borderId="51" xfId="0" applyFont="1" applyFill="1" applyBorder="1" applyAlignment="1" applyProtection="1">
      <alignment horizontal="center" vertical="center"/>
      <protection locked="0"/>
    </xf>
    <xf numFmtId="3" fontId="10" fillId="2" borderId="52" xfId="0" applyNumberFormat="1" applyFont="1" applyFill="1" applyBorder="1" applyAlignment="1" applyProtection="1">
      <alignment horizontal="center" vertical="center"/>
      <protection locked="0"/>
    </xf>
    <xf numFmtId="3" fontId="10" fillId="0" borderId="53" xfId="0" applyNumberFormat="1" applyFont="1" applyFill="1" applyBorder="1" applyAlignment="1" applyProtection="1">
      <alignment horizontal="center" vertical="center"/>
    </xf>
    <xf numFmtId="3" fontId="10" fillId="0" borderId="54" xfId="0" applyNumberFormat="1" applyFont="1" applyFill="1" applyBorder="1" applyAlignment="1" applyProtection="1">
      <alignment horizontal="center" vertical="center"/>
    </xf>
    <xf numFmtId="3" fontId="10" fillId="2" borderId="55" xfId="0" applyNumberFormat="1" applyFont="1" applyFill="1" applyBorder="1" applyAlignment="1" applyProtection="1">
      <alignment horizontal="center" vertical="center"/>
      <protection locked="0"/>
    </xf>
    <xf numFmtId="0" fontId="10" fillId="0" borderId="56" xfId="0" applyFont="1" applyBorder="1" applyAlignment="1">
      <alignment horizontal="center" vertical="center"/>
    </xf>
    <xf numFmtId="3" fontId="10" fillId="2" borderId="58" xfId="0" applyNumberFormat="1" applyFont="1" applyFill="1" applyBorder="1" applyAlignment="1" applyProtection="1">
      <alignment horizontal="center" vertical="center"/>
      <protection locked="0"/>
    </xf>
    <xf numFmtId="3" fontId="10" fillId="0" borderId="59" xfId="0" applyNumberFormat="1" applyFont="1" applyFill="1" applyBorder="1" applyAlignment="1" applyProtection="1">
      <alignment horizontal="center" vertical="center"/>
    </xf>
    <xf numFmtId="3" fontId="10" fillId="0" borderId="60" xfId="0" applyNumberFormat="1" applyFont="1" applyFill="1" applyBorder="1" applyAlignment="1" applyProtection="1">
      <alignment horizontal="center" vertical="center"/>
    </xf>
    <xf numFmtId="3" fontId="10" fillId="2" borderId="57" xfId="0" applyNumberFormat="1" applyFont="1" applyFill="1" applyBorder="1" applyAlignment="1" applyProtection="1">
      <alignment horizontal="center" vertical="center"/>
      <protection locked="0"/>
    </xf>
    <xf numFmtId="3" fontId="10" fillId="0" borderId="61" xfId="0" applyNumberFormat="1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>
      <alignment horizontal="center" vertical="center"/>
    </xf>
    <xf numFmtId="0" fontId="10" fillId="3" borderId="65" xfId="0" applyFont="1" applyFill="1" applyBorder="1" applyAlignment="1">
      <alignment horizontal="center" vertical="center"/>
    </xf>
    <xf numFmtId="0" fontId="10" fillId="3" borderId="66" xfId="0" applyFont="1" applyFill="1" applyBorder="1" applyAlignment="1">
      <alignment horizontal="center" vertical="center"/>
    </xf>
    <xf numFmtId="0" fontId="10" fillId="3" borderId="62" xfId="0" applyFont="1" applyFill="1" applyBorder="1" applyAlignment="1">
      <alignment horizontal="center" vertical="center" shrinkToFit="1"/>
    </xf>
    <xf numFmtId="0" fontId="10" fillId="0" borderId="68" xfId="0" applyFont="1" applyBorder="1" applyAlignment="1">
      <alignment horizontal="center" vertical="center"/>
    </xf>
    <xf numFmtId="3" fontId="10" fillId="2" borderId="70" xfId="0" applyNumberFormat="1" applyFont="1" applyFill="1" applyBorder="1" applyAlignment="1" applyProtection="1">
      <alignment horizontal="center" vertical="center"/>
      <protection locked="0"/>
    </xf>
    <xf numFmtId="3" fontId="10" fillId="0" borderId="71" xfId="0" applyNumberFormat="1" applyFont="1" applyFill="1" applyBorder="1" applyAlignment="1" applyProtection="1">
      <alignment horizontal="center" vertical="center"/>
    </xf>
    <xf numFmtId="3" fontId="10" fillId="0" borderId="72" xfId="0" applyNumberFormat="1" applyFont="1" applyFill="1" applyBorder="1" applyAlignment="1" applyProtection="1">
      <alignment horizontal="center" vertical="center"/>
    </xf>
    <xf numFmtId="3" fontId="10" fillId="2" borderId="69" xfId="0" applyNumberFormat="1" applyFont="1" applyFill="1" applyBorder="1" applyAlignment="1" applyProtection="1">
      <alignment horizontal="center" vertical="center"/>
      <protection locked="0"/>
    </xf>
    <xf numFmtId="3" fontId="10" fillId="0" borderId="73" xfId="0" applyNumberFormat="1" applyFont="1" applyFill="1" applyBorder="1" applyAlignment="1" applyProtection="1">
      <alignment horizontal="center" vertical="center"/>
    </xf>
    <xf numFmtId="3" fontId="10" fillId="0" borderId="74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Border="1" applyAlignment="1">
      <alignment horizontal="center" vertical="center"/>
    </xf>
    <xf numFmtId="0" fontId="10" fillId="10" borderId="69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vertical="top" wrapText="1"/>
    </xf>
    <xf numFmtId="0" fontId="10" fillId="3" borderId="39" xfId="0" applyFont="1" applyFill="1" applyBorder="1" applyAlignment="1">
      <alignment horizontal="center" vertical="center" wrapText="1"/>
    </xf>
    <xf numFmtId="0" fontId="10" fillId="3" borderId="62" xfId="0" applyFont="1" applyFill="1" applyBorder="1" applyAlignment="1">
      <alignment horizontal="center" vertical="center" wrapText="1"/>
    </xf>
    <xf numFmtId="0" fontId="10" fillId="2" borderId="69" xfId="0" applyNumberFormat="1" applyFont="1" applyFill="1" applyBorder="1" applyAlignment="1" applyProtection="1">
      <alignment horizontal="center" vertical="center"/>
      <protection locked="0"/>
    </xf>
    <xf numFmtId="0" fontId="10" fillId="2" borderId="57" xfId="0" applyNumberFormat="1" applyFont="1" applyFill="1" applyBorder="1" applyAlignment="1" applyProtection="1">
      <alignment horizontal="center" vertical="center"/>
      <protection locked="0"/>
    </xf>
    <xf numFmtId="0" fontId="10" fillId="2" borderId="45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vertical="center" wrapText="1"/>
    </xf>
    <xf numFmtId="0" fontId="10" fillId="0" borderId="37" xfId="0" applyFont="1" applyBorder="1">
      <alignment vertical="center"/>
    </xf>
    <xf numFmtId="14" fontId="0" fillId="0" borderId="0" xfId="0" applyNumberFormat="1">
      <alignment vertical="center"/>
    </xf>
    <xf numFmtId="0" fontId="7" fillId="0" borderId="0" xfId="0" applyFont="1" applyFill="1" applyBorder="1">
      <alignment vertical="center"/>
    </xf>
    <xf numFmtId="0" fontId="19" fillId="0" borderId="0" xfId="0" applyFont="1" applyBorder="1">
      <alignment vertical="center"/>
    </xf>
    <xf numFmtId="0" fontId="15" fillId="0" borderId="0" xfId="0" applyFont="1" applyBorder="1" applyAlignment="1">
      <alignment horizontal="left" vertical="center" wrapText="1"/>
    </xf>
    <xf numFmtId="0" fontId="0" fillId="13" borderId="0" xfId="0" applyFill="1">
      <alignment vertical="center"/>
    </xf>
    <xf numFmtId="0" fontId="10" fillId="13" borderId="0" xfId="0" applyFont="1" applyFill="1">
      <alignment vertical="center"/>
    </xf>
    <xf numFmtId="0" fontId="10" fillId="13" borderId="0" xfId="0" applyFont="1" applyFill="1" applyBorder="1">
      <alignment vertical="center"/>
    </xf>
    <xf numFmtId="0" fontId="0" fillId="13" borderId="29" xfId="0" applyFill="1" applyBorder="1">
      <alignment vertical="center"/>
    </xf>
    <xf numFmtId="0" fontId="19" fillId="13" borderId="15" xfId="0" applyFont="1" applyFill="1" applyBorder="1">
      <alignment vertical="center"/>
    </xf>
    <xf numFmtId="0" fontId="10" fillId="13" borderId="15" xfId="0" applyFont="1" applyFill="1" applyBorder="1" applyAlignment="1">
      <alignment vertical="center" wrapText="1"/>
    </xf>
    <xf numFmtId="0" fontId="0" fillId="13" borderId="30" xfId="0" applyFill="1" applyBorder="1">
      <alignment vertical="center"/>
    </xf>
    <xf numFmtId="0" fontId="0" fillId="13" borderId="42" xfId="0" applyFill="1" applyBorder="1">
      <alignment vertical="center"/>
    </xf>
    <xf numFmtId="0" fontId="0" fillId="13" borderId="43" xfId="0" applyFill="1" applyBorder="1">
      <alignment vertical="center"/>
    </xf>
    <xf numFmtId="0" fontId="15" fillId="13" borderId="1" xfId="0" applyFont="1" applyFill="1" applyBorder="1" applyAlignment="1">
      <alignment horizontal="left" vertical="center" wrapText="1"/>
    </xf>
    <xf numFmtId="0" fontId="0" fillId="13" borderId="10" xfId="0" applyFill="1" applyBorder="1">
      <alignment vertical="center"/>
    </xf>
    <xf numFmtId="0" fontId="0" fillId="13" borderId="11" xfId="0" applyFill="1" applyBorder="1">
      <alignment vertical="center"/>
    </xf>
    <xf numFmtId="0" fontId="10" fillId="13" borderId="0" xfId="0" applyFont="1" applyFill="1" applyBorder="1" applyAlignment="1">
      <alignment vertical="top"/>
    </xf>
    <xf numFmtId="0" fontId="10" fillId="13" borderId="0" xfId="0" applyFont="1" applyFill="1" applyBorder="1" applyAlignment="1">
      <alignment vertical="top" wrapText="1"/>
    </xf>
    <xf numFmtId="0" fontId="4" fillId="0" borderId="1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57" fontId="10" fillId="0" borderId="5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57" fontId="10" fillId="0" borderId="44" xfId="0" applyNumberFormat="1" applyFont="1" applyFill="1" applyBorder="1" applyAlignment="1" applyProtection="1">
      <alignment horizontal="center" vertical="center"/>
    </xf>
    <xf numFmtId="3" fontId="4" fillId="0" borderId="1" xfId="2" applyNumberFormat="1" applyFont="1" applyFill="1" applyBorder="1" applyAlignment="1" applyProtection="1">
      <alignment horizontal="right"/>
    </xf>
    <xf numFmtId="3" fontId="2" fillId="0" borderId="1" xfId="1" applyNumberFormat="1" applyBorder="1" applyProtection="1"/>
    <xf numFmtId="3" fontId="2" fillId="0" borderId="1" xfId="1" applyNumberFormat="1" applyBorder="1" applyAlignment="1" applyProtection="1"/>
    <xf numFmtId="0" fontId="0" fillId="9" borderId="1" xfId="0" applyFill="1" applyBorder="1">
      <alignment vertical="center"/>
    </xf>
    <xf numFmtId="0" fontId="0" fillId="9" borderId="1" xfId="0" applyFill="1" applyBorder="1" applyAlignment="1">
      <alignment horizontal="center" vertical="center"/>
    </xf>
    <xf numFmtId="3" fontId="20" fillId="0" borderId="4" xfId="0" applyNumberFormat="1" applyFont="1" applyBorder="1" applyAlignment="1">
      <alignment vertical="center" shrinkToFit="1"/>
    </xf>
    <xf numFmtId="0" fontId="0" fillId="0" borderId="1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shrinkToFit="1"/>
    </xf>
    <xf numFmtId="0" fontId="0" fillId="0" borderId="1" xfId="0" applyBorder="1" applyAlignment="1">
      <alignment horizontal="right"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21" fillId="3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22" fillId="3" borderId="3" xfId="0" applyFont="1" applyFill="1" applyBorder="1" applyAlignment="1">
      <alignment vertical="center" wrapText="1"/>
    </xf>
    <xf numFmtId="0" fontId="0" fillId="3" borderId="38" xfId="0" applyFill="1" applyBorder="1">
      <alignment vertical="center"/>
    </xf>
    <xf numFmtId="0" fontId="10" fillId="0" borderId="68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56" xfId="0" applyFont="1" applyFill="1" applyBorder="1" applyAlignment="1" applyProtection="1">
      <alignment horizontal="center" vertical="center"/>
    </xf>
    <xf numFmtId="0" fontId="9" fillId="3" borderId="67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86" xfId="0" applyFont="1" applyFill="1" applyBorder="1" applyAlignment="1" applyProtection="1">
      <alignment horizontal="center" vertical="center"/>
    </xf>
    <xf numFmtId="0" fontId="10" fillId="0" borderId="87" xfId="0" applyFont="1" applyFill="1" applyBorder="1" applyAlignment="1" applyProtection="1">
      <alignment horizontal="center" vertical="center"/>
    </xf>
    <xf numFmtId="0" fontId="10" fillId="0" borderId="88" xfId="0" applyFont="1" applyFill="1" applyBorder="1" applyAlignment="1" applyProtection="1">
      <alignment horizontal="center" vertical="center"/>
    </xf>
    <xf numFmtId="0" fontId="10" fillId="0" borderId="50" xfId="0" applyFont="1" applyFill="1" applyBorder="1" applyAlignment="1" applyProtection="1">
      <alignment horizontal="center" vertical="center"/>
    </xf>
    <xf numFmtId="0" fontId="10" fillId="2" borderId="1" xfId="0" applyFont="1" applyFill="1" applyBorder="1">
      <alignment vertical="center"/>
    </xf>
    <xf numFmtId="0" fontId="0" fillId="0" borderId="1" xfId="0" applyBorder="1" applyAlignment="1">
      <alignment vertical="center"/>
    </xf>
    <xf numFmtId="14" fontId="0" fillId="10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57" fontId="0" fillId="0" borderId="0" xfId="0" applyNumberFormat="1" applyBorder="1">
      <alignment vertical="center"/>
    </xf>
    <xf numFmtId="0" fontId="0" fillId="3" borderId="3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2" xfId="0" applyFill="1" applyBorder="1">
      <alignment vertical="center"/>
    </xf>
    <xf numFmtId="0" fontId="0" fillId="0" borderId="13" xfId="0" applyFill="1" applyBorder="1">
      <alignment vertical="center"/>
    </xf>
    <xf numFmtId="0" fontId="7" fillId="0" borderId="2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10" fillId="2" borderId="68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23" fillId="0" borderId="0" xfId="0" applyFont="1">
      <alignment vertical="center"/>
    </xf>
    <xf numFmtId="0" fontId="23" fillId="0" borderId="1" xfId="0" applyFont="1" applyBorder="1">
      <alignment vertical="center"/>
    </xf>
    <xf numFmtId="0" fontId="24" fillId="0" borderId="0" xfId="0" applyFont="1">
      <alignment vertic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vertical="center" shrinkToFit="1"/>
    </xf>
    <xf numFmtId="0" fontId="10" fillId="3" borderId="29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57" xfId="0" applyFont="1" applyFill="1" applyBorder="1" applyAlignment="1">
      <alignment horizontal="center" vertical="center"/>
    </xf>
    <xf numFmtId="0" fontId="10" fillId="3" borderId="59" xfId="0" applyFont="1" applyFill="1" applyBorder="1" applyAlignment="1">
      <alignment horizontal="center" vertical="center"/>
    </xf>
    <xf numFmtId="0" fontId="10" fillId="3" borderId="60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3" fontId="10" fillId="0" borderId="75" xfId="0" applyNumberFormat="1" applyFont="1" applyBorder="1" applyAlignment="1">
      <alignment horizontal="center" vertical="center"/>
    </xf>
    <xf numFmtId="3" fontId="10" fillId="0" borderId="4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>
      <alignment horizontal="center" vertical="center" wrapText="1"/>
    </xf>
    <xf numFmtId="0" fontId="10" fillId="3" borderId="63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 wrapText="1"/>
    </xf>
    <xf numFmtId="0" fontId="15" fillId="3" borderId="6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78" xfId="0" applyFont="1" applyFill="1" applyBorder="1" applyAlignment="1">
      <alignment horizontal="center" vertical="center"/>
    </xf>
    <xf numFmtId="0" fontId="10" fillId="3" borderId="79" xfId="0" applyFont="1" applyFill="1" applyBorder="1" applyAlignment="1">
      <alignment horizontal="center" vertical="center"/>
    </xf>
    <xf numFmtId="0" fontId="10" fillId="3" borderId="80" xfId="0" applyFont="1" applyFill="1" applyBorder="1" applyAlignment="1">
      <alignment horizontal="center" vertical="center"/>
    </xf>
    <xf numFmtId="3" fontId="10" fillId="0" borderId="50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/>
    </xf>
    <xf numFmtId="3" fontId="10" fillId="0" borderId="76" xfId="0" applyNumberFormat="1" applyFont="1" applyBorder="1" applyAlignment="1">
      <alignment horizontal="center" vertical="center"/>
    </xf>
    <xf numFmtId="3" fontId="9" fillId="0" borderId="56" xfId="0" applyNumberFormat="1" applyFont="1" applyBorder="1" applyAlignment="1">
      <alignment horizontal="center" vertical="center"/>
    </xf>
    <xf numFmtId="3" fontId="9" fillId="0" borderId="50" xfId="0" applyNumberFormat="1" applyFont="1" applyBorder="1" applyAlignment="1">
      <alignment horizontal="center" vertical="center"/>
    </xf>
    <xf numFmtId="0" fontId="10" fillId="3" borderId="77" xfId="0" applyFont="1" applyFill="1" applyBorder="1" applyAlignment="1">
      <alignment horizontal="center" vertical="center"/>
    </xf>
    <xf numFmtId="0" fontId="10" fillId="3" borderId="81" xfId="0" applyFont="1" applyFill="1" applyBorder="1" applyAlignment="1">
      <alignment horizontal="center" vertical="center"/>
    </xf>
    <xf numFmtId="0" fontId="10" fillId="3" borderId="82" xfId="0" applyFont="1" applyFill="1" applyBorder="1" applyAlignment="1">
      <alignment horizontal="center" vertical="center"/>
    </xf>
    <xf numFmtId="0" fontId="10" fillId="3" borderId="83" xfId="0" applyFont="1" applyFill="1" applyBorder="1" applyAlignment="1">
      <alignment horizontal="center" vertical="center"/>
    </xf>
    <xf numFmtId="0" fontId="10" fillId="3" borderId="84" xfId="0" applyFont="1" applyFill="1" applyBorder="1" applyAlignment="1">
      <alignment horizontal="center" vertical="center"/>
    </xf>
    <xf numFmtId="0" fontId="10" fillId="3" borderId="8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176" fontId="0" fillId="0" borderId="1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3" borderId="3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176" fontId="0" fillId="0" borderId="3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15" fillId="13" borderId="9" xfId="0" applyFont="1" applyFill="1" applyBorder="1" applyAlignment="1">
      <alignment horizontal="left" vertical="top" wrapText="1"/>
    </xf>
    <xf numFmtId="0" fontId="10" fillId="13" borderId="7" xfId="0" applyFont="1" applyFill="1" applyBorder="1" applyAlignment="1">
      <alignment horizontal="left" vertical="top" wrapText="1"/>
    </xf>
    <xf numFmtId="0" fontId="10" fillId="13" borderId="1" xfId="0" applyFont="1" applyFill="1" applyBorder="1" applyAlignment="1">
      <alignment horizontal="center" vertical="center"/>
    </xf>
    <xf numFmtId="0" fontId="10" fillId="13" borderId="75" xfId="0" applyFont="1" applyFill="1" applyBorder="1" applyAlignment="1">
      <alignment vertical="center"/>
    </xf>
    <xf numFmtId="0" fontId="10" fillId="13" borderId="44" xfId="0" applyFont="1" applyFill="1" applyBorder="1" applyAlignment="1">
      <alignment vertical="center"/>
    </xf>
    <xf numFmtId="0" fontId="10" fillId="13" borderId="50" xfId="0" applyFont="1" applyFill="1" applyBorder="1" applyAlignment="1">
      <alignment vertical="center"/>
    </xf>
    <xf numFmtId="0" fontId="10" fillId="13" borderId="75" xfId="0" applyFont="1" applyFill="1" applyBorder="1" applyAlignment="1">
      <alignment horizontal="left" vertical="center"/>
    </xf>
    <xf numFmtId="0" fontId="10" fillId="13" borderId="44" xfId="0" applyFont="1" applyFill="1" applyBorder="1" applyAlignment="1">
      <alignment horizontal="left" vertical="center"/>
    </xf>
    <xf numFmtId="0" fontId="10" fillId="13" borderId="50" xfId="0" applyFont="1" applyFill="1" applyBorder="1" applyAlignment="1">
      <alignment horizontal="left" vertical="center" wrapText="1"/>
    </xf>
    <xf numFmtId="0" fontId="10" fillId="13" borderId="0" xfId="0" applyFont="1" applyFill="1" applyBorder="1" applyAlignment="1">
      <alignment horizontal="left" vertical="center" shrinkToFit="1"/>
    </xf>
    <xf numFmtId="0" fontId="15" fillId="13" borderId="1" xfId="0" applyFont="1" applyFill="1" applyBorder="1" applyAlignment="1">
      <alignment horizontal="center" vertical="center" wrapText="1"/>
    </xf>
    <xf numFmtId="0" fontId="15" fillId="13" borderId="75" xfId="0" applyFont="1" applyFill="1" applyBorder="1" applyAlignment="1">
      <alignment vertical="center" wrapText="1"/>
    </xf>
    <xf numFmtId="178" fontId="4" fillId="9" borderId="17" xfId="2" applyNumberFormat="1" applyFont="1" applyFill="1" applyBorder="1" applyAlignment="1" applyProtection="1">
      <alignment horizontal="center" vertical="center"/>
    </xf>
    <xf numFmtId="178" fontId="4" fillId="9" borderId="35" xfId="2" applyNumberFormat="1" applyFont="1" applyFill="1" applyBorder="1" applyAlignment="1" applyProtection="1">
      <alignment horizontal="center" vertical="center"/>
    </xf>
    <xf numFmtId="178" fontId="4" fillId="9" borderId="21" xfId="2" applyNumberFormat="1" applyFont="1" applyFill="1" applyBorder="1" applyAlignment="1" applyProtection="1">
      <alignment horizontal="center" vertical="center"/>
    </xf>
    <xf numFmtId="178" fontId="4" fillId="9" borderId="18" xfId="2" applyNumberFormat="1" applyFont="1" applyFill="1" applyBorder="1" applyAlignment="1" applyProtection="1">
      <alignment horizontal="center" vertical="center"/>
    </xf>
    <xf numFmtId="178" fontId="4" fillId="9" borderId="34" xfId="2" applyNumberFormat="1" applyFont="1" applyFill="1" applyBorder="1" applyAlignment="1" applyProtection="1">
      <alignment horizontal="center" vertical="center"/>
    </xf>
    <xf numFmtId="178" fontId="4" fillId="9" borderId="13" xfId="2" applyNumberFormat="1" applyFont="1" applyFill="1" applyBorder="1" applyAlignment="1" applyProtection="1">
      <alignment horizontal="center" vertical="center"/>
    </xf>
    <xf numFmtId="178" fontId="4" fillId="9" borderId="19" xfId="2" applyNumberFormat="1" applyFont="1" applyFill="1" applyBorder="1" applyAlignment="1" applyProtection="1">
      <alignment horizontal="center" vertical="center"/>
    </xf>
    <xf numFmtId="178" fontId="4" fillId="9" borderId="36" xfId="2" applyNumberFormat="1" applyFont="1" applyFill="1" applyBorder="1" applyAlignment="1" applyProtection="1">
      <alignment horizontal="center" vertical="center"/>
    </xf>
    <xf numFmtId="178" fontId="4" fillId="9" borderId="22" xfId="2" applyNumberFormat="1" applyFont="1" applyFill="1" applyBorder="1" applyAlignment="1" applyProtection="1">
      <alignment horizontal="center" vertical="center"/>
    </xf>
    <xf numFmtId="3" fontId="4" fillId="0" borderId="1" xfId="2" applyNumberFormat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3" fontId="4" fillId="0" borderId="1" xfId="2" applyNumberFormat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  <xf numFmtId="3" fontId="4" fillId="6" borderId="1" xfId="2" applyNumberFormat="1" applyFont="1" applyFill="1" applyBorder="1" applyAlignment="1" applyProtection="1">
      <alignment horizontal="center" vertical="center"/>
    </xf>
    <xf numFmtId="0" fontId="4" fillId="6" borderId="1" xfId="1" applyFont="1" applyFill="1" applyBorder="1" applyAlignment="1" applyProtection="1">
      <alignment horizontal="center" vertical="center"/>
    </xf>
    <xf numFmtId="3" fontId="4" fillId="0" borderId="16" xfId="2" applyNumberFormat="1" applyFont="1" applyBorder="1" applyAlignment="1" applyProtection="1">
      <alignment horizontal="center" vertical="center"/>
    </xf>
    <xf numFmtId="0" fontId="4" fillId="0" borderId="20" xfId="1" applyFont="1" applyBorder="1" applyAlignment="1" applyProtection="1">
      <alignment horizontal="center" vertical="center"/>
    </xf>
    <xf numFmtId="3" fontId="4" fillId="0" borderId="8" xfId="2" applyNumberFormat="1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horizontal="center" vertical="center"/>
    </xf>
    <xf numFmtId="3" fontId="4" fillId="0" borderId="29" xfId="2" applyNumberFormat="1" applyFont="1" applyBorder="1" applyAlignment="1" applyProtection="1">
      <alignment horizontal="center"/>
    </xf>
    <xf numFmtId="3" fontId="4" fillId="0" borderId="30" xfId="2" applyNumberFormat="1" applyFont="1" applyBorder="1" applyAlignment="1" applyProtection="1">
      <alignment horizontal="center"/>
    </xf>
    <xf numFmtId="3" fontId="4" fillId="0" borderId="15" xfId="2" applyNumberFormat="1" applyFont="1" applyBorder="1" applyAlignment="1" applyProtection="1">
      <alignment horizontal="center"/>
    </xf>
    <xf numFmtId="0" fontId="6" fillId="0" borderId="1" xfId="1" applyFont="1" applyFill="1" applyBorder="1" applyAlignment="1" applyProtection="1">
      <alignment horizontal="center" vertical="center" wrapText="1"/>
    </xf>
    <xf numFmtId="3" fontId="4" fillId="0" borderId="1" xfId="2" applyNumberFormat="1" applyFont="1" applyBorder="1" applyAlignment="1" applyProtection="1">
      <alignment horizontal="center"/>
    </xf>
    <xf numFmtId="0" fontId="0" fillId="12" borderId="1" xfId="0" applyFill="1" applyBorder="1" applyAlignment="1">
      <alignment horizontal="center" vertical="center" textRotation="255"/>
    </xf>
    <xf numFmtId="0" fontId="0" fillId="11" borderId="1" xfId="0" applyFill="1" applyBorder="1" applyAlignment="1">
      <alignment horizontal="center" vertical="center" textRotation="255"/>
    </xf>
    <xf numFmtId="0" fontId="0" fillId="0" borderId="12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3" xfId="0" applyBorder="1" applyAlignment="1">
      <alignment vertical="center"/>
    </xf>
  </cellXfs>
  <cellStyles count="3">
    <cellStyle name="標準" xfId="0" builtinId="0"/>
    <cellStyle name="標準 2" xfId="1"/>
    <cellStyle name="標準_Sheet1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740453</xdr:colOff>
      <xdr:row>18</xdr:row>
      <xdr:rowOff>57014</xdr:rowOff>
    </xdr:from>
    <xdr:to>
      <xdr:col>7</xdr:col>
      <xdr:colOff>419681</xdr:colOff>
      <xdr:row>19</xdr:row>
      <xdr:rowOff>206373</xdr:rowOff>
    </xdr:to>
    <xdr:sp macro="" textlink="">
      <xdr:nvSpPr>
        <xdr:cNvPr id="2" name="下矢印 1"/>
        <xdr:cNvSpPr/>
      </xdr:nvSpPr>
      <xdr:spPr>
        <a:xfrm>
          <a:off x="2518098" y="5556203"/>
          <a:ext cx="510501" cy="40513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140677</xdr:colOff>
      <xdr:row>1</xdr:row>
      <xdr:rowOff>10048</xdr:rowOff>
    </xdr:from>
    <xdr:to>
      <xdr:col>20</xdr:col>
      <xdr:colOff>532563</xdr:colOff>
      <xdr:row>16</xdr:row>
      <xdr:rowOff>40192</xdr:rowOff>
    </xdr:to>
    <xdr:sp macro="" textlink="">
      <xdr:nvSpPr>
        <xdr:cNvPr id="3" name="角丸四角形 2"/>
        <xdr:cNvSpPr/>
      </xdr:nvSpPr>
      <xdr:spPr>
        <a:xfrm>
          <a:off x="10178980" y="331595"/>
          <a:ext cx="5476352" cy="4732773"/>
        </a:xfrm>
        <a:prstGeom prst="roundRect">
          <a:avLst>
            <a:gd name="adj" fmla="val 424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683288</xdr:colOff>
      <xdr:row>0</xdr:row>
      <xdr:rowOff>70339</xdr:rowOff>
    </xdr:from>
    <xdr:to>
      <xdr:col>18</xdr:col>
      <xdr:colOff>572756</xdr:colOff>
      <xdr:row>2</xdr:row>
      <xdr:rowOff>10049</xdr:rowOff>
    </xdr:to>
    <xdr:sp macro="" textlink="">
      <xdr:nvSpPr>
        <xdr:cNvPr id="6" name="テキスト ボックス 5"/>
        <xdr:cNvSpPr txBox="1"/>
      </xdr:nvSpPr>
      <xdr:spPr>
        <a:xfrm>
          <a:off x="11947491" y="70339"/>
          <a:ext cx="1818751" cy="4521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000">
              <a:solidFill>
                <a:srgbClr val="FF0000"/>
              </a:solidFill>
            </a:rPr>
            <a:t>※</a:t>
          </a:r>
          <a:r>
            <a:rPr kumimoji="1" lang="ja-JP" altLang="en-US" sz="2000">
              <a:solidFill>
                <a:srgbClr val="FF0000"/>
              </a:solidFill>
            </a:rPr>
            <a:t>注意事項</a:t>
          </a:r>
          <a:r>
            <a:rPr kumimoji="1" lang="en-US" altLang="ja-JP" sz="2000">
              <a:solidFill>
                <a:srgbClr val="FF0000"/>
              </a:solidFill>
            </a:rPr>
            <a:t>※</a:t>
          </a:r>
          <a:endParaRPr kumimoji="1" lang="ja-JP" altLang="en-US" sz="20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10</xdr:col>
      <xdr:colOff>245830</xdr:colOff>
      <xdr:row>16</xdr:row>
      <xdr:rowOff>152980</xdr:rowOff>
    </xdr:from>
    <xdr:to>
      <xdr:col>20</xdr:col>
      <xdr:colOff>538303</xdr:colOff>
      <xdr:row>34</xdr:row>
      <xdr:rowOff>48765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526" y="5072850"/>
          <a:ext cx="9842320" cy="5254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309490</xdr:colOff>
      <xdr:row>0</xdr:row>
      <xdr:rowOff>316522</xdr:rowOff>
    </xdr:from>
    <xdr:to>
      <xdr:col>14</xdr:col>
      <xdr:colOff>239152</xdr:colOff>
      <xdr:row>4</xdr:row>
      <xdr:rowOff>126608</xdr:rowOff>
    </xdr:to>
    <xdr:sp macro="" textlink="">
      <xdr:nvSpPr>
        <xdr:cNvPr id="2" name="テキスト ボックス 1"/>
        <xdr:cNvSpPr txBox="1"/>
      </xdr:nvSpPr>
      <xdr:spPr>
        <a:xfrm>
          <a:off x="7498081" y="316522"/>
          <a:ext cx="2011680" cy="67524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←年度（西暦で入力）・税率・基礎控除・軽減の人数加算額を入力してください。</a:t>
          </a:r>
        </a:p>
      </xdr:txBody>
    </xdr:sp>
    <xdr:clientData/>
  </xdr:twoCellAnchor>
  <xdr:twoCellAnchor>
    <xdr:from>
      <xdr:col>9</xdr:col>
      <xdr:colOff>175846</xdr:colOff>
      <xdr:row>68</xdr:row>
      <xdr:rowOff>91439</xdr:rowOff>
    </xdr:from>
    <xdr:to>
      <xdr:col>15</xdr:col>
      <xdr:colOff>28135</xdr:colOff>
      <xdr:row>79</xdr:row>
      <xdr:rowOff>154745</xdr:rowOff>
    </xdr:to>
    <xdr:sp macro="" textlink="">
      <xdr:nvSpPr>
        <xdr:cNvPr id="3" name="テキスト ボックス 2"/>
        <xdr:cNvSpPr txBox="1"/>
      </xdr:nvSpPr>
      <xdr:spPr>
        <a:xfrm>
          <a:off x="6224954" y="11795759"/>
          <a:ext cx="3727938" cy="215939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←各項目をすべて満たすと、有効な入力とみなし計算対象者として判定しています。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項目ごとに満たす場合は１とし、その掛け算をして判定しています。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世帯主のみ、擬主か普主の判定が必要となるため、加入有無の入力も判定に加えています。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生年月日の入力があっても対象外としているもの</a:t>
          </a:r>
          <a:endParaRPr kumimoji="1" lang="en-US" altLang="ja-JP" sz="1100"/>
        </a:p>
        <a:p>
          <a:pPr algn="l"/>
          <a:r>
            <a:rPr kumimoji="1" lang="ja-JP" altLang="en-US" sz="1100"/>
            <a:t>・生年月日が現在日より１年以上先の場合</a:t>
          </a:r>
          <a:endParaRPr kumimoji="1" lang="en-US" altLang="ja-JP" sz="1100"/>
        </a:p>
        <a:p>
          <a:pPr algn="l"/>
          <a:r>
            <a:rPr kumimoji="1" lang="ja-JP" altLang="en-US" sz="1100"/>
            <a:t>・「加入する」としているが、既に７５歳に到達している場合</a:t>
          </a:r>
        </a:p>
      </xdr:txBody>
    </xdr:sp>
    <xdr:clientData/>
  </xdr:twoCellAnchor>
  <xdr:twoCellAnchor>
    <xdr:from>
      <xdr:col>9</xdr:col>
      <xdr:colOff>365759</xdr:colOff>
      <xdr:row>54</xdr:row>
      <xdr:rowOff>105508</xdr:rowOff>
    </xdr:from>
    <xdr:to>
      <xdr:col>15</xdr:col>
      <xdr:colOff>218048</xdr:colOff>
      <xdr:row>60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6414867" y="9425354"/>
          <a:ext cx="3727938" cy="9144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←軽減と未就学児均等割軽減の適用の組み合わせによって、概算シートに表記する文言を変更しています。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文言のテンプレートを作って</a:t>
          </a:r>
          <a:r>
            <a:rPr kumimoji="1" lang="en-US" altLang="ja-JP" sz="1100"/>
            <a:t>H56</a:t>
          </a:r>
          <a:r>
            <a:rPr kumimoji="1" lang="ja-JP" altLang="en-US" sz="1100"/>
            <a:t>セルで判定し、</a:t>
          </a:r>
          <a:r>
            <a:rPr kumimoji="1" lang="en-US" altLang="ja-JP" sz="1100"/>
            <a:t>vlookup</a:t>
          </a:r>
          <a:r>
            <a:rPr kumimoji="1" lang="ja-JP" altLang="en-US" sz="1100"/>
            <a:t>で引っ張っています。</a:t>
          </a:r>
        </a:p>
      </xdr:txBody>
    </xdr:sp>
    <xdr:clientData/>
  </xdr:twoCellAnchor>
  <xdr:twoCellAnchor>
    <xdr:from>
      <xdr:col>9</xdr:col>
      <xdr:colOff>468922</xdr:colOff>
      <xdr:row>61</xdr:row>
      <xdr:rowOff>145366</xdr:rowOff>
    </xdr:from>
    <xdr:to>
      <xdr:col>15</xdr:col>
      <xdr:colOff>321211</xdr:colOff>
      <xdr:row>66</xdr:row>
      <xdr:rowOff>32824</xdr:rowOff>
    </xdr:to>
    <xdr:sp macro="" textlink="">
      <xdr:nvSpPr>
        <xdr:cNvPr id="5" name="テキスト ボックス 4"/>
        <xdr:cNvSpPr txBox="1"/>
      </xdr:nvSpPr>
      <xdr:spPr>
        <a:xfrm>
          <a:off x="6518030" y="10660966"/>
          <a:ext cx="3727938" cy="73152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←税額の表示の部分に表示する文言です。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文言のテンプレートを作って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H63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セルで判定し、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vlookup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で引っ張っています。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0</xdr:col>
      <xdr:colOff>56271</xdr:colOff>
      <xdr:row>6</xdr:row>
      <xdr:rowOff>91440</xdr:rowOff>
    </xdr:from>
    <xdr:to>
      <xdr:col>17</xdr:col>
      <xdr:colOff>576776</xdr:colOff>
      <xdr:row>6</xdr:row>
      <xdr:rowOff>91440</xdr:rowOff>
    </xdr:to>
    <xdr:cxnSp macro="">
      <xdr:nvCxnSpPr>
        <xdr:cNvPr id="7" name="直線コネクタ 6"/>
        <xdr:cNvCxnSpPr/>
      </xdr:nvCxnSpPr>
      <xdr:spPr>
        <a:xfrm>
          <a:off x="56271" y="1294228"/>
          <a:ext cx="11444068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590843</xdr:colOff>
      <xdr:row>5</xdr:row>
      <xdr:rowOff>126610</xdr:rowOff>
    </xdr:from>
    <xdr:to>
      <xdr:col>9</xdr:col>
      <xdr:colOff>260252</xdr:colOff>
      <xdr:row>7</xdr:row>
      <xdr:rowOff>77372</xdr:rowOff>
    </xdr:to>
    <xdr:sp macro="" textlink="">
      <xdr:nvSpPr>
        <xdr:cNvPr id="8" name="テキスト ボックス 7"/>
        <xdr:cNvSpPr txBox="1"/>
      </xdr:nvSpPr>
      <xdr:spPr>
        <a:xfrm>
          <a:off x="3910818" y="1160585"/>
          <a:ext cx="2398542" cy="288387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以降は基本的にはメンテナンス不要</a:t>
          </a:r>
        </a:p>
      </xdr:txBody>
    </xdr:sp>
    <xdr:clientData/>
  </xdr:twoCellAnchor>
  <xdr:twoCellAnchor>
    <xdr:from>
      <xdr:col>18</xdr:col>
      <xdr:colOff>82060</xdr:colOff>
      <xdr:row>6</xdr:row>
      <xdr:rowOff>138332</xdr:rowOff>
    </xdr:from>
    <xdr:to>
      <xdr:col>26</xdr:col>
      <xdr:colOff>520504</xdr:colOff>
      <xdr:row>28</xdr:row>
      <xdr:rowOff>0</xdr:rowOff>
    </xdr:to>
    <xdr:sp macro="" textlink="">
      <xdr:nvSpPr>
        <xdr:cNvPr id="10" name="テキスト ボックス 9"/>
        <xdr:cNvSpPr txBox="1"/>
      </xdr:nvSpPr>
      <xdr:spPr>
        <a:xfrm>
          <a:off x="11624602" y="1341120"/>
          <a:ext cx="5390271" cy="357553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←医療・支援</a:t>
          </a:r>
          <a:endParaRPr kumimoji="1" lang="en-US" altLang="ja-JP" sz="1100"/>
        </a:p>
        <a:p>
          <a:pPr algn="l"/>
          <a:r>
            <a:rPr kumimoji="1" lang="ja-JP" altLang="en-US" sz="1100"/>
            <a:t>基礎計算（１２か月相当で計算）</a:t>
          </a:r>
          <a:endParaRPr kumimoji="1" lang="en-US" altLang="ja-JP" sz="1100"/>
        </a:p>
        <a:p>
          <a:pPr algn="l"/>
          <a:r>
            <a:rPr kumimoji="1" lang="ja-JP" altLang="en-US" sz="1100"/>
            <a:t>・所得割：加入１のもののみ所得割算定基礎を算出、その合　計に税率を掛けています。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・均等割：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加入１の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合計に税率を掛けています。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・平等割：均等割に額があれば、税率のとおり。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軽減計算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（１２か月相当で計算）</a:t>
          </a:r>
          <a:endParaRPr lang="ja-JP" altLang="ja-JP">
            <a:effectLst/>
          </a:endParaRPr>
        </a:p>
        <a:p>
          <a:pPr algn="l"/>
          <a:r>
            <a:rPr kumimoji="1" lang="ja-JP" altLang="en-US" sz="1100"/>
            <a:t>軽減判定の結果から、軽減割合を基礎計算の均等割と平等割に掛けています。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未就学児均等割軽減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（１２か月相当で計算）</a:t>
          </a:r>
          <a:endParaRPr lang="ja-JP" altLang="ja-JP">
            <a:effectLst/>
          </a:endParaRPr>
        </a:p>
        <a:p>
          <a:pPr algn="l"/>
          <a:r>
            <a:rPr kumimoji="1" lang="ja-JP" altLang="en-US" sz="1100"/>
            <a:t>・対象者判定：入力された生年月日と</a:t>
          </a:r>
          <a:r>
            <a:rPr kumimoji="1" lang="en-US" altLang="ja-JP" sz="1100"/>
            <a:t>O9</a:t>
          </a:r>
          <a:r>
            <a:rPr kumimoji="1" lang="ja-JP" altLang="en-US" sz="1100"/>
            <a:t>セルを比較</a:t>
          </a:r>
          <a:endParaRPr kumimoji="1" lang="en-US" altLang="ja-JP" sz="1100"/>
        </a:p>
        <a:p>
          <a:pPr algn="l"/>
          <a:r>
            <a:rPr kumimoji="1" lang="ja-JP" altLang="en-US" sz="1100"/>
            <a:t>・軽減額の計算：</a:t>
          </a:r>
          <a:endParaRPr kumimoji="1" lang="en-US" altLang="ja-JP" sz="1100"/>
        </a:p>
        <a:p>
          <a:pPr algn="l"/>
          <a:r>
            <a:rPr kumimoji="1" lang="ja-JP" altLang="en-US" sz="1100"/>
            <a:t>　均等割率ｘ人数ｘ（１－軽減割合）</a:t>
          </a:r>
          <a:r>
            <a:rPr kumimoji="1" lang="en-US" altLang="ja-JP" sz="1100"/>
            <a:t>/2</a:t>
          </a:r>
        </a:p>
        <a:p>
          <a:pPr algn="l"/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限度額との比較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（１２か月相当で計算）</a:t>
          </a:r>
          <a:endParaRPr kumimoji="1" lang="en-US" altLang="ja-JP" sz="1100"/>
        </a:p>
        <a:p>
          <a:pPr algn="l"/>
          <a:r>
            <a:rPr kumimoji="1" lang="ja-JP" altLang="en-US" sz="1100"/>
            <a:t>基礎計算ー軽減ー未軽減と比較しています。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限度額の方が安ければ限度額にしています。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最後に加入月数分に調整</a:t>
          </a:r>
          <a:endParaRPr kumimoji="1" lang="en-US" altLang="ja-JP" sz="1100"/>
        </a:p>
      </xdr:txBody>
    </xdr:sp>
    <xdr:clientData/>
  </xdr:twoCellAnchor>
  <xdr:twoCellAnchor>
    <xdr:from>
      <xdr:col>2</xdr:col>
      <xdr:colOff>239151</xdr:colOff>
      <xdr:row>26</xdr:row>
      <xdr:rowOff>91440</xdr:rowOff>
    </xdr:from>
    <xdr:to>
      <xdr:col>8</xdr:col>
      <xdr:colOff>28135</xdr:colOff>
      <xdr:row>32</xdr:row>
      <xdr:rowOff>91440</xdr:rowOff>
    </xdr:to>
    <xdr:sp macro="" textlink="">
      <xdr:nvSpPr>
        <xdr:cNvPr id="12" name="テキスト ボックス 11"/>
        <xdr:cNvSpPr txBox="1"/>
      </xdr:nvSpPr>
      <xdr:spPr>
        <a:xfrm>
          <a:off x="1702191" y="4670474"/>
          <a:ext cx="3763107" cy="1012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介護分の計算は「介護</a:t>
          </a:r>
          <a:r>
            <a:rPr kumimoji="1" lang="en-US" altLang="ja-JP" sz="1100"/>
            <a:t>2</a:t>
          </a:r>
          <a:r>
            <a:rPr kumimoji="1" lang="ja-JP" altLang="en-US" sz="1100"/>
            <a:t>号判定」シートに移行しました。</a:t>
          </a:r>
        </a:p>
      </xdr:txBody>
    </xdr:sp>
    <xdr:clientData/>
  </xdr:twoCellAnchor>
  <xdr:twoCellAnchor>
    <xdr:from>
      <xdr:col>9</xdr:col>
      <xdr:colOff>211014</xdr:colOff>
      <xdr:row>40</xdr:row>
      <xdr:rowOff>126609</xdr:rowOff>
    </xdr:from>
    <xdr:to>
      <xdr:col>15</xdr:col>
      <xdr:colOff>63303</xdr:colOff>
      <xdr:row>49</xdr:row>
      <xdr:rowOff>7034</xdr:rowOff>
    </xdr:to>
    <xdr:sp macro="" textlink="">
      <xdr:nvSpPr>
        <xdr:cNvPr id="13" name="テキスト ボックス 12"/>
        <xdr:cNvSpPr txBox="1"/>
      </xdr:nvSpPr>
      <xdr:spPr>
        <a:xfrm>
          <a:off x="6260122" y="7069015"/>
          <a:ext cx="3727938" cy="139973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←軽減判定所得を計算しています。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給与年金所得については、</a:t>
          </a:r>
          <a:r>
            <a:rPr kumimoji="1" lang="en-US" altLang="ja-JP" sz="1100"/>
            <a:t>3</a:t>
          </a:r>
          <a:r>
            <a:rPr kumimoji="1" lang="ja-JP" altLang="en-US" sz="1100"/>
            <a:t>以後給与・・・（基礎）で計算し、</a:t>
          </a:r>
          <a:r>
            <a:rPr kumimoji="1" lang="en-US" altLang="ja-JP" sz="1100"/>
            <a:t>65</a:t>
          </a:r>
          <a:r>
            <a:rPr kumimoji="1" lang="ja-JP" altLang="en-US" sz="1100"/>
            <a:t>以降の給与所得のみ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以後給与・・・（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軽減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で計算しています。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/>
            <a:t>軽減の給与年金所得がある場合にフラグを立ててカウントし、軽減の閾値を求めています。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49237</xdr:colOff>
      <xdr:row>14</xdr:row>
      <xdr:rowOff>154745</xdr:rowOff>
    </xdr:from>
    <xdr:to>
      <xdr:col>61</xdr:col>
      <xdr:colOff>28136</xdr:colOff>
      <xdr:row>18</xdr:row>
      <xdr:rowOff>147711</xdr:rowOff>
    </xdr:to>
    <xdr:sp macro="" textlink="">
      <xdr:nvSpPr>
        <xdr:cNvPr id="2" name="テキスト ボックス 1"/>
        <xdr:cNvSpPr txBox="1"/>
      </xdr:nvSpPr>
      <xdr:spPr>
        <a:xfrm>
          <a:off x="2328203" y="2532185"/>
          <a:ext cx="4550899" cy="6682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給与収入・年金収入から、給与所得・年金所得を算出するシートです。</a:t>
          </a:r>
          <a:endParaRPr kumimoji="1" lang="en-US" altLang="ja-JP" sz="1100"/>
        </a:p>
        <a:p>
          <a:r>
            <a:rPr kumimoji="1" lang="ja-JP" altLang="en-US" sz="1100"/>
            <a:t>給与所得調整控除１については非対応です。</a:t>
          </a:r>
          <a:endParaRPr kumimoji="1" lang="en-US" altLang="ja-JP" sz="1100"/>
        </a:p>
        <a:p>
          <a:r>
            <a:rPr kumimoji="1" lang="ja-JP" altLang="en-US" sz="1100"/>
            <a:t>概算表と同じもので計算しています。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84405</xdr:colOff>
      <xdr:row>16</xdr:row>
      <xdr:rowOff>42204</xdr:rowOff>
    </xdr:from>
    <xdr:to>
      <xdr:col>60</xdr:col>
      <xdr:colOff>154744</xdr:colOff>
      <xdr:row>19</xdr:row>
      <xdr:rowOff>56270</xdr:rowOff>
    </xdr:to>
    <xdr:sp macro="" textlink="">
      <xdr:nvSpPr>
        <xdr:cNvPr id="2" name="テキスト ボックス 1"/>
        <xdr:cNvSpPr txBox="1"/>
      </xdr:nvSpPr>
      <xdr:spPr>
        <a:xfrm>
          <a:off x="2363371" y="2757269"/>
          <a:ext cx="4452425" cy="5205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65</a:t>
          </a:r>
          <a:r>
            <a:rPr kumimoji="1" lang="ja-JP" altLang="en-US" sz="1100"/>
            <a:t>歳以上の軽減判定用の給与所得の計算のためのシートです。</a:t>
          </a:r>
          <a:endParaRPr kumimoji="1" lang="en-US" altLang="ja-JP" sz="1100"/>
        </a:p>
        <a:p>
          <a:r>
            <a:rPr kumimoji="1" lang="en-US" altLang="ja-JP" sz="1100"/>
            <a:t>65</a:t>
          </a:r>
          <a:r>
            <a:rPr kumimoji="1" lang="ja-JP" altLang="en-US" sz="1100"/>
            <a:t>歳未満はエラーが出ますが、参照してませんので問題ありません。</a:t>
          </a:r>
          <a:endParaRPr kumimoji="1" lang="en-US" altLang="ja-JP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330590</xdr:colOff>
      <xdr:row>3</xdr:row>
      <xdr:rowOff>49236</xdr:rowOff>
    </xdr:from>
    <xdr:to>
      <xdr:col>20</xdr:col>
      <xdr:colOff>400928</xdr:colOff>
      <xdr:row>15</xdr:row>
      <xdr:rowOff>133643</xdr:rowOff>
    </xdr:to>
    <xdr:sp macro="" textlink="">
      <xdr:nvSpPr>
        <xdr:cNvPr id="2" name="テキスト ボックス 1"/>
        <xdr:cNvSpPr txBox="1"/>
      </xdr:nvSpPr>
      <xdr:spPr>
        <a:xfrm>
          <a:off x="4797082" y="1139482"/>
          <a:ext cx="7357403" cy="211015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←介護分の適用月数を求める表です。</a:t>
          </a:r>
          <a:endParaRPr kumimoji="1" lang="en-US" altLang="ja-JP" sz="1100"/>
        </a:p>
        <a:p>
          <a:pPr algn="l"/>
          <a:r>
            <a:rPr kumimoji="1" lang="ja-JP" altLang="en-US" sz="1100"/>
            <a:t>計算対象者それぞれの必要月数を、</a:t>
          </a:r>
          <a:endParaRPr kumimoji="1" lang="en-US" altLang="ja-JP" sz="1100"/>
        </a:p>
        <a:p>
          <a:pPr algn="l"/>
          <a:r>
            <a:rPr kumimoji="1" lang="en-US" altLang="ja-JP" sz="1100"/>
            <a:t>vlookup(</a:t>
          </a:r>
          <a:r>
            <a:rPr kumimoji="1" lang="ja-JP" altLang="en-US" sz="1100"/>
            <a:t>生年月日</a:t>
          </a:r>
          <a:r>
            <a:rPr kumimoji="1" lang="en-US" altLang="ja-JP" sz="1100"/>
            <a:t>,C</a:t>
          </a:r>
          <a:r>
            <a:rPr kumimoji="1" lang="ja-JP" altLang="en-US" sz="1100"/>
            <a:t>列から</a:t>
          </a:r>
          <a:r>
            <a:rPr kumimoji="1" lang="en-US" altLang="ja-JP" sz="1100"/>
            <a:t>G</a:t>
          </a:r>
          <a:r>
            <a:rPr kumimoji="1" lang="ja-JP" altLang="en-US" sz="1100"/>
            <a:t>列を参照</a:t>
          </a:r>
          <a:r>
            <a:rPr kumimoji="1" lang="en-US" altLang="ja-JP" sz="1100"/>
            <a:t>,G</a:t>
          </a:r>
          <a:r>
            <a:rPr kumimoji="1" lang="ja-JP" altLang="en-US" sz="1100"/>
            <a:t>列を返す</a:t>
          </a:r>
          <a:r>
            <a:rPr kumimoji="1" lang="en-US" altLang="ja-JP" sz="1100"/>
            <a:t>,TRUE)</a:t>
          </a:r>
        </a:p>
        <a:p>
          <a:pPr algn="l"/>
          <a:r>
            <a:rPr kumimoji="1" lang="ja-JP" altLang="en-US" sz="1100"/>
            <a:t>で引っ張っています。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en-US" altLang="ja-JP" sz="1100"/>
            <a:t>F</a:t>
          </a:r>
          <a:r>
            <a:rPr kumimoji="1" lang="ja-JP" altLang="en-US" sz="1100"/>
            <a:t>列では、生年月日ごとに４月～３月までで必要な介護分月数を示しています。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加入月によって、加入月～３月までに必要な月数が変わるため、</a:t>
          </a:r>
          <a:r>
            <a:rPr kumimoji="1" lang="en-US" altLang="ja-JP" sz="1100"/>
            <a:t>G</a:t>
          </a:r>
          <a:r>
            <a:rPr kumimoji="1" lang="ja-JP" altLang="en-US" sz="1100"/>
            <a:t>列でそれを適用しています。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例：①年度通して考えると６月～３月まで１０か月分必要だが、加入が８月からの場合は、８月～３月までの８か月分を返す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②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年度通して考えると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月～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月まで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か月分必要だが、加入が８月からの場合は、８月～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月までの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か月分を返す</a:t>
          </a:r>
          <a:endParaRPr lang="ja-JP" altLang="ja-JP">
            <a:effectLst/>
          </a:endParaRPr>
        </a:p>
      </xdr:txBody>
    </xdr:sp>
    <xdr:clientData/>
  </xdr:twoCellAnchor>
  <xdr:twoCellAnchor>
    <xdr:from>
      <xdr:col>7</xdr:col>
      <xdr:colOff>243838</xdr:colOff>
      <xdr:row>21</xdr:row>
      <xdr:rowOff>161778</xdr:rowOff>
    </xdr:from>
    <xdr:to>
      <xdr:col>20</xdr:col>
      <xdr:colOff>314176</xdr:colOff>
      <xdr:row>30</xdr:row>
      <xdr:rowOff>117231</xdr:rowOff>
    </xdr:to>
    <xdr:sp macro="" textlink="">
      <xdr:nvSpPr>
        <xdr:cNvPr id="3" name="テキスト ボックス 2"/>
        <xdr:cNvSpPr txBox="1"/>
      </xdr:nvSpPr>
      <xdr:spPr>
        <a:xfrm>
          <a:off x="4872109" y="4290646"/>
          <a:ext cx="7357402" cy="148179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ja-JP" altLang="en-US">
              <a:effectLst/>
            </a:rPr>
            <a:t>↓介護分を計算しています。</a:t>
          </a:r>
          <a:endParaRPr lang="en-US" altLang="ja-JP">
            <a:effectLst/>
          </a:endParaRPr>
        </a:p>
        <a:p>
          <a:pPr algn="l"/>
          <a:r>
            <a:rPr lang="ja-JP" altLang="en-US">
              <a:effectLst/>
            </a:rPr>
            <a:t>必要月数をどこに割り振るかとして、</a:t>
          </a:r>
          <a:r>
            <a:rPr lang="en-US" altLang="ja-JP">
              <a:effectLst/>
            </a:rPr>
            <a:t>65</a:t>
          </a:r>
          <a:r>
            <a:rPr lang="ja-JP" altLang="en-US">
              <a:effectLst/>
            </a:rPr>
            <a:t>判定を使用しています。</a:t>
          </a:r>
          <a:endParaRPr lang="en-US" altLang="ja-JP">
            <a:effectLst/>
          </a:endParaRPr>
        </a:p>
        <a:p>
          <a:pPr algn="l"/>
          <a:r>
            <a:rPr lang="en-US" altLang="ja-JP">
              <a:effectLst/>
            </a:rPr>
            <a:t>65</a:t>
          </a:r>
          <a:r>
            <a:rPr lang="ja-JP" altLang="en-US">
              <a:effectLst/>
            </a:rPr>
            <a:t>判定</a:t>
          </a:r>
          <a:r>
            <a:rPr lang="en-US" altLang="ja-JP">
              <a:effectLst/>
            </a:rPr>
            <a:t>1</a:t>
          </a:r>
          <a:r>
            <a:rPr lang="ja-JP" altLang="en-US">
              <a:effectLst/>
            </a:rPr>
            <a:t>：今年度</a:t>
          </a:r>
          <a:r>
            <a:rPr lang="en-US" altLang="ja-JP">
              <a:effectLst/>
            </a:rPr>
            <a:t>65</a:t>
          </a:r>
          <a:r>
            <a:rPr lang="ja-JP" altLang="en-US">
              <a:effectLst/>
            </a:rPr>
            <a:t>到達する人（</a:t>
          </a:r>
          <a:r>
            <a:rPr lang="en-US" altLang="ja-JP">
              <a:effectLst/>
            </a:rPr>
            <a:t>C5</a:t>
          </a:r>
          <a:r>
            <a:rPr lang="ja-JP" altLang="en-US">
              <a:effectLst/>
            </a:rPr>
            <a:t>～</a:t>
          </a:r>
          <a:r>
            <a:rPr lang="en-US" altLang="ja-JP">
              <a:effectLst/>
            </a:rPr>
            <a:t>E15</a:t>
          </a:r>
          <a:r>
            <a:rPr lang="ja-JP" altLang="en-US">
              <a:effectLst/>
            </a:rPr>
            <a:t>までの生年月日）。開始月から必要月数分だけ割り振っています。</a:t>
          </a:r>
          <a:endParaRPr lang="en-US" altLang="ja-JP">
            <a:effectLst/>
          </a:endParaRPr>
        </a:p>
        <a:p>
          <a:pPr algn="l"/>
          <a:r>
            <a:rPr lang="en-US" altLang="ja-JP">
              <a:effectLst/>
            </a:rPr>
            <a:t>65</a:t>
          </a:r>
          <a:r>
            <a:rPr lang="ja-JP" altLang="en-US">
              <a:effectLst/>
            </a:rPr>
            <a:t>判定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：終了月（</a:t>
          </a:r>
          <a:r>
            <a:rPr lang="en-US" altLang="ja-JP">
              <a:effectLst/>
            </a:rPr>
            <a:t>3</a:t>
          </a:r>
          <a:r>
            <a:rPr lang="ja-JP" altLang="en-US">
              <a:effectLst/>
            </a:rPr>
            <a:t>月）から必要月数分だけ割り振っています。</a:t>
          </a:r>
          <a:endParaRPr lang="en-US" altLang="ja-JP">
            <a:effectLst/>
          </a:endParaRPr>
        </a:p>
        <a:p>
          <a:pPr algn="l"/>
          <a:endParaRPr lang="en-US" altLang="ja-JP">
            <a:effectLst/>
          </a:endParaRPr>
        </a:p>
        <a:p>
          <a:pPr algn="l"/>
          <a:r>
            <a:rPr lang="ja-JP" altLang="en-US">
              <a:effectLst/>
            </a:rPr>
            <a:t>月ごとに税額計算して合計しているので、本来の算出方法（１２か月分算定して月割調整する）とは方法が異なっています。</a:t>
          </a:r>
          <a:endParaRPr lang="en-US" altLang="ja-JP">
            <a:effectLst/>
          </a:endParaRPr>
        </a:p>
        <a:p>
          <a:pPr algn="l"/>
          <a:r>
            <a:rPr lang="ja-JP" altLang="en-US">
              <a:effectLst/>
            </a:rPr>
            <a:t>限度額を超えるかどうかを月ごとに判定しないといけないため、簡易的にこの算定方法をとっています。</a:t>
          </a:r>
          <a:endParaRPr lang="en-US" altLang="ja-JP">
            <a:effectLst/>
          </a:endParaRPr>
        </a:p>
      </xdr:txBody>
    </xdr:sp>
    <xdr:clientData/>
  </xdr:twoCellAnchor>
  <xdr:twoCellAnchor>
    <xdr:from>
      <xdr:col>19</xdr:col>
      <xdr:colOff>175844</xdr:colOff>
      <xdr:row>36</xdr:row>
      <xdr:rowOff>91441</xdr:rowOff>
    </xdr:from>
    <xdr:to>
      <xdr:col>29</xdr:col>
      <xdr:colOff>407962</xdr:colOff>
      <xdr:row>53</xdr:row>
      <xdr:rowOff>105508</xdr:rowOff>
    </xdr:to>
    <xdr:sp macro="" textlink="">
      <xdr:nvSpPr>
        <xdr:cNvPr id="4" name="テキスト ボックス 3"/>
        <xdr:cNvSpPr txBox="1"/>
      </xdr:nvSpPr>
      <xdr:spPr>
        <a:xfrm>
          <a:off x="11472201" y="7772401"/>
          <a:ext cx="6421903" cy="2883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←介護分必要月数の数式の説明（世帯主の７月で説明しています）</a:t>
          </a:r>
          <a:endParaRPr kumimoji="1" lang="en-US" altLang="ja-JP" sz="1100"/>
        </a:p>
        <a:p>
          <a:r>
            <a:rPr kumimoji="1" lang="en-US" altLang="ja-JP" sz="1100"/>
            <a:t>=IF(OR(K$43=0,$F49=0),0,IF($G49=1,IF($F49&gt;=COUNTIF($H$43:K$43,1),1,0),IF(16-$F49&lt;=K$48,1,0)))</a:t>
          </a:r>
        </a:p>
        <a:p>
          <a:r>
            <a:rPr kumimoji="1" lang="ja-JP" altLang="en-US" sz="1100"/>
            <a:t>①加入月でない、または介護分の月数が０の場合０を返します。</a:t>
          </a:r>
          <a:endParaRPr kumimoji="1" lang="en-US" altLang="ja-JP" sz="1100"/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IF(OR(K$43=0,$F49=0),0,</a:t>
          </a: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判定フラグが１の人を先に計算します。（介護分必要月を前からカウント）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IF($G49=1,</a:t>
          </a: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４３行目の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から当月までの１の数をカウントすることで、当月までの加入月数がわかります。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、・・・だと、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月までの加入月数は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/>
            <a:t>介護分必要月</a:t>
          </a:r>
          <a:r>
            <a:rPr kumimoji="1" lang="en-US" altLang="ja-JP" sz="1100"/>
            <a:t>F49</a:t>
          </a:r>
          <a:r>
            <a:rPr kumimoji="1" lang="ja-JP" altLang="en-US" sz="1100"/>
            <a:t>が当月までの加入月数以上の場合は１を、未満は０を返します。</a:t>
          </a:r>
          <a:endParaRPr kumimoji="1" lang="en-US" altLang="ja-JP" sz="1100"/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IF($F49&gt;=COUNTIF($H$43:K$43,1),1,0)</a:t>
          </a: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判定フラグが０の人を計算します。（介護分必要月を後ろからカウント）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４２行目の４～１５を用いて、後ろから必要月数を把握します。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例えば６～３月の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か月必要な場合、４２行目の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は必要、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は不要としたいため、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ー必要月数）とすることで、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ー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となり、４２行目が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以上なら１、未満なら０を返しています。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IF(16-$F49&lt;=K$48,1,0)</a:t>
          </a:r>
          <a:endParaRPr kumimoji="1" lang="ja-JP" altLang="en-US" sz="1100"/>
        </a:p>
      </xdr:txBody>
    </xdr:sp>
    <xdr:clientData/>
  </xdr:twoCellAnchor>
  <xdr:twoCellAnchor>
    <xdr:from>
      <xdr:col>5</xdr:col>
      <xdr:colOff>295420</xdr:colOff>
      <xdr:row>35</xdr:row>
      <xdr:rowOff>77373</xdr:rowOff>
    </xdr:from>
    <xdr:to>
      <xdr:col>6</xdr:col>
      <xdr:colOff>443132</xdr:colOff>
      <xdr:row>38</xdr:row>
      <xdr:rowOff>91440</xdr:rowOff>
    </xdr:to>
    <xdr:sp macro="" textlink="">
      <xdr:nvSpPr>
        <xdr:cNvPr id="5" name="線吹き出し 1 (枠付き) 4"/>
        <xdr:cNvSpPr/>
      </xdr:nvSpPr>
      <xdr:spPr>
        <a:xfrm>
          <a:off x="2897943" y="6576647"/>
          <a:ext cx="1104315" cy="520504"/>
        </a:xfrm>
        <a:prstGeom prst="borderCallout1">
          <a:avLst>
            <a:gd name="adj1" fmla="val 106588"/>
            <a:gd name="adj2" fmla="val 78291"/>
            <a:gd name="adj3" fmla="val 186825"/>
            <a:gd name="adj4" fmla="val 10561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C5</a:t>
          </a:r>
          <a:r>
            <a:rPr kumimoji="1" lang="ja-JP" altLang="en-US" sz="1100"/>
            <a:t>～</a:t>
          </a:r>
          <a:r>
            <a:rPr kumimoji="1" lang="en-US" altLang="ja-JP" sz="1100"/>
            <a:t>E15</a:t>
          </a:r>
          <a:r>
            <a:rPr kumimoji="1" lang="ja-JP" altLang="en-US" sz="1100"/>
            <a:t>までの生年月日の人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W36"/>
  <sheetViews>
    <sheetView tabSelected="1" view="pageBreakPreview" zoomScale="115" zoomScaleNormal="70" zoomScaleSheetLayoutView="115" workbookViewId="0">
      <selection activeCell="D10" sqref="D10"/>
    </sheetView>
  </sheetViews>
  <sheetFormatPr defaultColWidth="8.75" defaultRowHeight="25.15" customHeight="1" x14ac:dyDescent="0.15"/>
  <cols>
    <col min="1" max="1" width="1.625" style="86" customWidth="1"/>
    <col min="2" max="2" width="10.625" style="86" customWidth="1"/>
    <col min="3" max="3" width="7.5" style="86" customWidth="1"/>
    <col min="4" max="6" width="5.25" style="86" customWidth="1"/>
    <col min="7" max="10" width="13.75" style="86" customWidth="1"/>
    <col min="11" max="11" width="17.25" style="86" customWidth="1"/>
    <col min="12" max="12" width="14.5" style="86" customWidth="1"/>
    <col min="13" max="13" width="14" style="86" customWidth="1"/>
    <col min="14" max="14" width="6.875" style="86" customWidth="1"/>
    <col min="15" max="15" width="2.875" style="86" customWidth="1"/>
    <col min="16" max="16" width="14.625" style="86" customWidth="1"/>
    <col min="17" max="20" width="13.75" style="86" customWidth="1"/>
    <col min="21" max="21" width="8.375" style="86" customWidth="1"/>
    <col min="22" max="22" width="7.875" style="86" customWidth="1"/>
    <col min="23" max="24" width="0" style="86" hidden="1" customWidth="1"/>
    <col min="25" max="16384" width="8.75" style="86"/>
  </cols>
  <sheetData>
    <row r="1" spans="2:23" ht="25.15" customHeight="1" x14ac:dyDescent="0.15">
      <c r="B1" s="203" t="str">
        <f>"令和"&amp;(税率!B1-2018)&amp;"年度"</f>
        <v>令和6年度</v>
      </c>
      <c r="C1" s="85"/>
      <c r="D1" s="215" t="s">
        <v>77</v>
      </c>
      <c r="E1" s="215"/>
      <c r="F1" s="215"/>
      <c r="G1" s="215"/>
      <c r="H1" s="215"/>
      <c r="I1" s="215"/>
      <c r="J1" s="215"/>
      <c r="K1" s="215"/>
      <c r="P1" s="204" t="s">
        <v>108</v>
      </c>
      <c r="Q1" s="204"/>
      <c r="R1" s="204"/>
      <c r="S1" s="204"/>
      <c r="T1" s="204"/>
      <c r="U1" s="204"/>
    </row>
    <row r="2" spans="2:23" ht="15" customHeight="1" x14ac:dyDescent="0.15">
      <c r="P2" s="204"/>
      <c r="Q2" s="204"/>
      <c r="R2" s="204"/>
      <c r="S2" s="204"/>
      <c r="T2" s="204"/>
      <c r="U2" s="204"/>
    </row>
    <row r="3" spans="2:23" ht="25.15" customHeight="1" x14ac:dyDescent="0.15">
      <c r="B3" s="87" t="s">
        <v>113</v>
      </c>
      <c r="P3" s="216" t="s">
        <v>107</v>
      </c>
      <c r="Q3" s="216"/>
      <c r="R3" s="216"/>
      <c r="S3" s="216"/>
      <c r="T3" s="216"/>
      <c r="U3" s="216"/>
      <c r="V3" s="181"/>
    </row>
    <row r="4" spans="2:23" ht="25.15" customHeight="1" thickBot="1" x14ac:dyDescent="0.2">
      <c r="B4" s="217"/>
      <c r="C4" s="230" t="s">
        <v>79</v>
      </c>
      <c r="D4" s="231"/>
      <c r="E4" s="231"/>
      <c r="F4" s="232"/>
      <c r="G4" s="226" t="str">
        <f>"前年（令和"&amp;税率!B1-2019&amp;"年）の総所得金額等"</f>
        <v>前年（令和5年）の総所得金額等</v>
      </c>
      <c r="H4" s="227"/>
      <c r="I4" s="227"/>
      <c r="J4" s="227"/>
      <c r="K4" s="227"/>
      <c r="L4" s="208"/>
      <c r="M4" s="228" t="s">
        <v>166</v>
      </c>
      <c r="N4" s="223" t="s">
        <v>165</v>
      </c>
      <c r="O4" s="168"/>
      <c r="P4" s="186"/>
      <c r="Q4" s="86" t="s">
        <v>78</v>
      </c>
      <c r="W4" s="223" t="s">
        <v>127</v>
      </c>
    </row>
    <row r="5" spans="2:23" ht="25.15" customHeight="1" thickBot="1" x14ac:dyDescent="0.2">
      <c r="B5" s="225"/>
      <c r="C5" s="129" t="s">
        <v>123</v>
      </c>
      <c r="D5" s="130" t="s">
        <v>124</v>
      </c>
      <c r="E5" s="130" t="s">
        <v>125</v>
      </c>
      <c r="F5" s="130" t="s">
        <v>126</v>
      </c>
      <c r="G5" s="114" t="s">
        <v>161</v>
      </c>
      <c r="H5" s="115" t="s">
        <v>30</v>
      </c>
      <c r="I5" s="114" t="s">
        <v>162</v>
      </c>
      <c r="J5" s="116" t="s">
        <v>31</v>
      </c>
      <c r="K5" s="117" t="s">
        <v>163</v>
      </c>
      <c r="L5" s="180" t="s">
        <v>164</v>
      </c>
      <c r="M5" s="229"/>
      <c r="N5" s="224"/>
      <c r="O5" s="168"/>
      <c r="P5" s="88" t="s">
        <v>104</v>
      </c>
      <c r="W5" s="224"/>
    </row>
    <row r="6" spans="2:23" ht="25.15" customHeight="1" thickTop="1" x14ac:dyDescent="0.15">
      <c r="B6" s="118" t="s">
        <v>46</v>
      </c>
      <c r="C6" s="131"/>
      <c r="D6" s="131"/>
      <c r="E6" s="131"/>
      <c r="F6" s="198"/>
      <c r="G6" s="119"/>
      <c r="H6" s="120">
        <f>'3以後給与・年金所得換算(基礎)'!BQ5</f>
        <v>0</v>
      </c>
      <c r="I6" s="119"/>
      <c r="J6" s="121">
        <f>'3以後給与・年金所得換算(基礎)'!BR5</f>
        <v>0</v>
      </c>
      <c r="K6" s="122"/>
      <c r="L6" s="123">
        <f t="shared" ref="L6:L15" si="0">H6+J6+K6</f>
        <v>0</v>
      </c>
      <c r="M6" s="127" t="s">
        <v>226</v>
      </c>
      <c r="N6" s="177" t="str">
        <f ca="1">IF(税率!I70=1,IF(M6="加入する","対象","OK"),"")</f>
        <v/>
      </c>
      <c r="O6" s="178"/>
      <c r="P6" s="86" t="s">
        <v>105</v>
      </c>
      <c r="Q6" s="89"/>
      <c r="R6" s="89"/>
      <c r="S6" s="89"/>
      <c r="T6" s="89"/>
      <c r="W6" s="158">
        <f t="shared" ref="W6:W15" si="1">IF(C6="",0,DATE(IF(C6="大正",1912,IF(C6="昭和",1926,IF(C6="平成",1989,2019)))+D6-1,E6,F6))</f>
        <v>0</v>
      </c>
    </row>
    <row r="7" spans="2:23" ht="25.15" customHeight="1" x14ac:dyDescent="0.15">
      <c r="B7" s="108" t="s">
        <v>95</v>
      </c>
      <c r="C7" s="132"/>
      <c r="D7" s="132"/>
      <c r="E7" s="132"/>
      <c r="F7" s="132"/>
      <c r="G7" s="109"/>
      <c r="H7" s="110">
        <f>'3以後給与・年金所得換算(基礎)'!BQ6</f>
        <v>0</v>
      </c>
      <c r="I7" s="109"/>
      <c r="J7" s="111">
        <f>'3以後給与・年金所得換算(基礎)'!BR6</f>
        <v>0</v>
      </c>
      <c r="K7" s="112"/>
      <c r="L7" s="113">
        <f t="shared" si="0"/>
        <v>0</v>
      </c>
      <c r="M7" s="182"/>
      <c r="N7" s="179" t="str">
        <f ca="1">IF(税率!I71=0,"","対象")</f>
        <v/>
      </c>
      <c r="O7" s="178"/>
      <c r="P7" s="85" t="s">
        <v>146</v>
      </c>
      <c r="W7" s="158">
        <f t="shared" si="1"/>
        <v>0</v>
      </c>
    </row>
    <row r="8" spans="2:23" ht="25.15" customHeight="1" x14ac:dyDescent="0.15">
      <c r="B8" s="95" t="s">
        <v>96</v>
      </c>
      <c r="C8" s="133"/>
      <c r="D8" s="133"/>
      <c r="E8" s="133"/>
      <c r="F8" s="133"/>
      <c r="G8" s="96"/>
      <c r="H8" s="97">
        <f>'3以後給与・年金所得換算(基礎)'!BQ7</f>
        <v>0</v>
      </c>
      <c r="I8" s="96"/>
      <c r="J8" s="98">
        <f>'3以後給与・年金所得換算(基礎)'!BR7</f>
        <v>0</v>
      </c>
      <c r="K8" s="99"/>
      <c r="L8" s="100">
        <f t="shared" si="0"/>
        <v>0</v>
      </c>
      <c r="M8" s="183"/>
      <c r="N8" s="179" t="str">
        <f ca="1">IF(税率!I72=0,"","対象")</f>
        <v/>
      </c>
      <c r="O8" s="178"/>
      <c r="P8" s="205" t="s">
        <v>147</v>
      </c>
      <c r="Q8" s="205"/>
      <c r="R8" s="205"/>
      <c r="S8" s="205"/>
      <c r="T8" s="205"/>
      <c r="U8" s="205"/>
      <c r="W8" s="158">
        <f t="shared" si="1"/>
        <v>0</v>
      </c>
    </row>
    <row r="9" spans="2:23" ht="25.15" customHeight="1" x14ac:dyDescent="0.15">
      <c r="B9" s="95" t="s">
        <v>97</v>
      </c>
      <c r="C9" s="101"/>
      <c r="D9" s="101"/>
      <c r="E9" s="101"/>
      <c r="F9" s="101"/>
      <c r="G9" s="96"/>
      <c r="H9" s="97">
        <f>'3以後給与・年金所得換算(基礎)'!BQ8</f>
        <v>0</v>
      </c>
      <c r="I9" s="96"/>
      <c r="J9" s="98">
        <f>'3以後給与・年金所得換算(基礎)'!BR8</f>
        <v>0</v>
      </c>
      <c r="K9" s="99"/>
      <c r="L9" s="100">
        <f t="shared" si="0"/>
        <v>0</v>
      </c>
      <c r="M9" s="183"/>
      <c r="N9" s="179" t="str">
        <f ca="1">IF(税率!I73=0,"","対象")</f>
        <v/>
      </c>
      <c r="O9" s="178"/>
      <c r="P9" s="205" t="s">
        <v>148</v>
      </c>
      <c r="Q9" s="205"/>
      <c r="R9" s="205"/>
      <c r="S9" s="205"/>
      <c r="T9" s="205"/>
      <c r="U9" s="205"/>
      <c r="W9" s="158">
        <f t="shared" si="1"/>
        <v>0</v>
      </c>
    </row>
    <row r="10" spans="2:23" ht="25.15" customHeight="1" x14ac:dyDescent="0.15">
      <c r="B10" s="95" t="s">
        <v>98</v>
      </c>
      <c r="C10" s="101"/>
      <c r="D10" s="101"/>
      <c r="E10" s="101"/>
      <c r="F10" s="101"/>
      <c r="G10" s="96"/>
      <c r="H10" s="97">
        <f>'3以後給与・年金所得換算(基礎)'!BQ9</f>
        <v>0</v>
      </c>
      <c r="I10" s="96"/>
      <c r="J10" s="98">
        <f>'3以後給与・年金所得換算(基礎)'!BR9</f>
        <v>0</v>
      </c>
      <c r="K10" s="99"/>
      <c r="L10" s="100">
        <f t="shared" si="0"/>
        <v>0</v>
      </c>
      <c r="M10" s="183"/>
      <c r="N10" s="179" t="str">
        <f ca="1">IF(税率!I74=0,"","対象")</f>
        <v/>
      </c>
      <c r="O10" s="178"/>
      <c r="P10" s="86" t="s">
        <v>149</v>
      </c>
      <c r="W10" s="158">
        <f t="shared" si="1"/>
        <v>0</v>
      </c>
    </row>
    <row r="11" spans="2:23" ht="25.15" customHeight="1" x14ac:dyDescent="0.15">
      <c r="B11" s="95" t="s">
        <v>99</v>
      </c>
      <c r="C11" s="101"/>
      <c r="D11" s="101"/>
      <c r="E11" s="101"/>
      <c r="F11" s="101"/>
      <c r="G11" s="96"/>
      <c r="H11" s="97">
        <f>'3以後給与・年金所得換算(基礎)'!BQ10</f>
        <v>0</v>
      </c>
      <c r="I11" s="96"/>
      <c r="J11" s="98">
        <f>'3以後給与・年金所得換算(基礎)'!BR10</f>
        <v>0</v>
      </c>
      <c r="K11" s="99"/>
      <c r="L11" s="100">
        <f t="shared" si="0"/>
        <v>0</v>
      </c>
      <c r="M11" s="183"/>
      <c r="N11" s="179" t="str">
        <f ca="1">IF(税率!I75=0,"","対象")</f>
        <v/>
      </c>
      <c r="O11" s="178"/>
      <c r="P11" s="205" t="s">
        <v>168</v>
      </c>
      <c r="Q11" s="205"/>
      <c r="R11" s="205"/>
      <c r="S11" s="205"/>
      <c r="T11" s="205"/>
      <c r="U11" s="205"/>
      <c r="W11" s="158">
        <f t="shared" si="1"/>
        <v>0</v>
      </c>
    </row>
    <row r="12" spans="2:23" ht="25.15" customHeight="1" x14ac:dyDescent="0.15">
      <c r="B12" s="95" t="s">
        <v>100</v>
      </c>
      <c r="C12" s="101"/>
      <c r="D12" s="101"/>
      <c r="E12" s="101"/>
      <c r="F12" s="101"/>
      <c r="G12" s="96"/>
      <c r="H12" s="97">
        <f>'3以後給与・年金所得換算(基礎)'!BQ11</f>
        <v>0</v>
      </c>
      <c r="I12" s="96"/>
      <c r="J12" s="98">
        <f>'3以後給与・年金所得換算(基礎)'!BR11</f>
        <v>0</v>
      </c>
      <c r="K12" s="99"/>
      <c r="L12" s="100">
        <f t="shared" si="0"/>
        <v>0</v>
      </c>
      <c r="M12" s="183"/>
      <c r="N12" s="179" t="str">
        <f ca="1">IF(税率!I76=0,"","対象")</f>
        <v/>
      </c>
      <c r="O12" s="178"/>
      <c r="P12" s="86" t="s">
        <v>169</v>
      </c>
      <c r="W12" s="158">
        <f t="shared" si="1"/>
        <v>0</v>
      </c>
    </row>
    <row r="13" spans="2:23" ht="25.15" customHeight="1" x14ac:dyDescent="0.15">
      <c r="B13" s="95" t="s">
        <v>101</v>
      </c>
      <c r="C13" s="101"/>
      <c r="D13" s="101"/>
      <c r="E13" s="101"/>
      <c r="F13" s="101"/>
      <c r="G13" s="96"/>
      <c r="H13" s="97">
        <f>'3以後給与・年金所得換算(基礎)'!BQ12</f>
        <v>0</v>
      </c>
      <c r="I13" s="96"/>
      <c r="J13" s="98">
        <f>'3以後給与・年金所得換算(基礎)'!BR12</f>
        <v>0</v>
      </c>
      <c r="K13" s="99"/>
      <c r="L13" s="100">
        <f t="shared" si="0"/>
        <v>0</v>
      </c>
      <c r="M13" s="183"/>
      <c r="N13" s="179" t="str">
        <f ca="1">IF(税率!I77=0,"","対象")</f>
        <v/>
      </c>
      <c r="O13" s="178"/>
      <c r="P13" s="220" t="s">
        <v>170</v>
      </c>
      <c r="Q13" s="220"/>
      <c r="R13" s="220"/>
      <c r="S13" s="220"/>
      <c r="T13" s="220"/>
      <c r="U13" s="220"/>
      <c r="W13" s="158">
        <f t="shared" si="1"/>
        <v>0</v>
      </c>
    </row>
    <row r="14" spans="2:23" ht="25.15" customHeight="1" x14ac:dyDescent="0.15">
      <c r="B14" s="95" t="s">
        <v>102</v>
      </c>
      <c r="C14" s="101"/>
      <c r="D14" s="101"/>
      <c r="E14" s="101"/>
      <c r="F14" s="101"/>
      <c r="G14" s="96"/>
      <c r="H14" s="97">
        <f>'3以後給与・年金所得換算(基礎)'!BQ13</f>
        <v>0</v>
      </c>
      <c r="I14" s="96"/>
      <c r="J14" s="98">
        <f>'3以後給与・年金所得換算(基礎)'!BR13</f>
        <v>0</v>
      </c>
      <c r="K14" s="99"/>
      <c r="L14" s="100">
        <f t="shared" si="0"/>
        <v>0</v>
      </c>
      <c r="M14" s="183"/>
      <c r="N14" s="179" t="str">
        <f ca="1">IF(税率!I78=0,"","対象")</f>
        <v/>
      </c>
      <c r="O14" s="178"/>
      <c r="P14" s="86" t="s">
        <v>173</v>
      </c>
      <c r="W14" s="158">
        <f t="shared" si="1"/>
        <v>0</v>
      </c>
    </row>
    <row r="15" spans="2:23" ht="25.15" customHeight="1" thickBot="1" x14ac:dyDescent="0.2">
      <c r="B15" s="102" t="s">
        <v>103</v>
      </c>
      <c r="C15" s="103"/>
      <c r="D15" s="103"/>
      <c r="E15" s="103"/>
      <c r="F15" s="103"/>
      <c r="G15" s="104"/>
      <c r="H15" s="105">
        <f>'3以後給与・年金所得換算(基礎)'!BQ14</f>
        <v>0</v>
      </c>
      <c r="I15" s="104"/>
      <c r="J15" s="106">
        <f>'3以後給与・年金所得換算(基礎)'!BR14</f>
        <v>0</v>
      </c>
      <c r="K15" s="107"/>
      <c r="L15" s="124">
        <f t="shared" si="0"/>
        <v>0</v>
      </c>
      <c r="M15" s="184"/>
      <c r="N15" s="185" t="str">
        <f ca="1">IF(税率!I79=0,"","対象")</f>
        <v/>
      </c>
      <c r="O15" s="178"/>
      <c r="P15" s="86" t="s">
        <v>171</v>
      </c>
      <c r="W15" s="156">
        <f t="shared" si="1"/>
        <v>0</v>
      </c>
    </row>
    <row r="16" spans="2:23" ht="26.1" customHeight="1" x14ac:dyDescent="0.5">
      <c r="K16" s="90" t="s">
        <v>109</v>
      </c>
      <c r="M16" s="91"/>
      <c r="N16" s="91"/>
      <c r="O16" s="91"/>
      <c r="P16" s="220" t="s">
        <v>225</v>
      </c>
      <c r="Q16" s="220"/>
      <c r="R16" s="220"/>
      <c r="S16" s="220"/>
      <c r="T16" s="220"/>
      <c r="U16" s="220"/>
      <c r="V16" s="91"/>
    </row>
    <row r="17" spans="2:22" ht="25.15" customHeight="1" thickBot="1" x14ac:dyDescent="0.2">
      <c r="B17" s="92" t="s">
        <v>18</v>
      </c>
      <c r="C17" s="93"/>
      <c r="L17" s="138"/>
      <c r="M17" s="134"/>
      <c r="N17" s="134"/>
      <c r="O17" s="134"/>
      <c r="V17" s="134"/>
    </row>
    <row r="18" spans="2:22" ht="35.1" customHeight="1" thickBot="1" x14ac:dyDescent="0.2">
      <c r="B18" s="221">
        <v>4</v>
      </c>
      <c r="C18" s="222"/>
      <c r="D18" s="222"/>
      <c r="E18" s="222"/>
      <c r="F18" s="94" t="s">
        <v>1</v>
      </c>
      <c r="G18" s="166" t="s">
        <v>128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</row>
    <row r="19" spans="2:22" ht="27.2" customHeight="1" x14ac:dyDescent="0.15">
      <c r="B19" s="157"/>
      <c r="C19" s="157"/>
      <c r="D19" s="126"/>
      <c r="E19" s="126"/>
      <c r="F19" s="126"/>
      <c r="G19" s="126"/>
      <c r="L19" s="139"/>
      <c r="M19" s="167"/>
      <c r="N19" s="167"/>
      <c r="O19" s="167"/>
      <c r="P19" s="167"/>
      <c r="Q19" s="167"/>
      <c r="R19" s="167"/>
      <c r="S19" s="167"/>
      <c r="T19" s="167"/>
      <c r="U19" s="167"/>
      <c r="V19" s="167"/>
    </row>
    <row r="20" spans="2:22" ht="27.2" customHeight="1" x14ac:dyDescent="0.15">
      <c r="B20" s="157"/>
      <c r="C20" s="157"/>
      <c r="D20" s="126"/>
      <c r="E20" s="126"/>
      <c r="F20" s="126"/>
      <c r="G20" s="126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</row>
    <row r="21" spans="2:22" ht="19.899999999999999" customHeight="1" x14ac:dyDescent="0.15">
      <c r="B21" s="206"/>
      <c r="C21" s="207"/>
      <c r="D21" s="207"/>
      <c r="E21" s="207"/>
      <c r="F21" s="208"/>
      <c r="G21" s="217" t="s">
        <v>27</v>
      </c>
      <c r="H21" s="217" t="s">
        <v>74</v>
      </c>
      <c r="I21" s="217" t="s">
        <v>75</v>
      </c>
      <c r="L21" s="167"/>
      <c r="M21" s="166"/>
      <c r="N21" s="166"/>
      <c r="O21" s="166"/>
      <c r="P21" s="166"/>
      <c r="Q21" s="166"/>
      <c r="R21" s="166"/>
      <c r="S21" s="166"/>
      <c r="T21" s="166"/>
      <c r="U21" s="166"/>
      <c r="V21" s="166"/>
    </row>
    <row r="22" spans="2:22" ht="19.899999999999999" customHeight="1" x14ac:dyDescent="0.15">
      <c r="B22" s="209"/>
      <c r="C22" s="210"/>
      <c r="D22" s="210"/>
      <c r="E22" s="210"/>
      <c r="F22" s="211"/>
      <c r="G22" s="217"/>
      <c r="H22" s="217"/>
      <c r="I22" s="217"/>
      <c r="L22" s="167"/>
      <c r="M22" s="166"/>
      <c r="N22" s="166"/>
      <c r="O22" s="166"/>
      <c r="P22" s="166"/>
      <c r="Q22" s="166"/>
      <c r="R22" s="166"/>
      <c r="S22" s="166"/>
      <c r="T22" s="166"/>
      <c r="U22" s="166"/>
      <c r="V22" s="166"/>
    </row>
    <row r="23" spans="2:22" ht="19.899999999999999" customHeight="1" x14ac:dyDescent="0.15">
      <c r="B23" s="206" t="s">
        <v>71</v>
      </c>
      <c r="C23" s="207"/>
      <c r="D23" s="207"/>
      <c r="E23" s="207"/>
      <c r="F23" s="208"/>
      <c r="G23" s="218">
        <f ca="1">税率!H10*(税率!F20/12)</f>
        <v>0</v>
      </c>
      <c r="H23" s="218">
        <f ca="1">税率!L10*(税率!J20/12)</f>
        <v>0</v>
      </c>
      <c r="I23" s="218">
        <f ca="1">税率!M25</f>
        <v>0</v>
      </c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</row>
    <row r="24" spans="2:22" ht="19.899999999999999" customHeight="1" x14ac:dyDescent="0.15">
      <c r="B24" s="212"/>
      <c r="C24" s="213"/>
      <c r="D24" s="213"/>
      <c r="E24" s="213"/>
      <c r="F24" s="214"/>
      <c r="G24" s="219"/>
      <c r="H24" s="219"/>
      <c r="I24" s="219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</row>
    <row r="25" spans="2:22" ht="19.899999999999999" customHeight="1" x14ac:dyDescent="0.15">
      <c r="B25" s="233" t="s">
        <v>76</v>
      </c>
      <c r="C25" s="234"/>
      <c r="D25" s="234"/>
      <c r="E25" s="234"/>
      <c r="F25" s="235"/>
      <c r="G25" s="219">
        <f ca="1">(税率!H11-税率!H14-税率!H16)*(税率!F20/12)</f>
        <v>0</v>
      </c>
      <c r="H25" s="219">
        <f ca="1">(税率!L11-税率!L14-税率!L16)*(税率!J20/12)</f>
        <v>0</v>
      </c>
      <c r="I25" s="219">
        <f ca="1">税率!M26-税率!M29</f>
        <v>0</v>
      </c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</row>
    <row r="26" spans="2:22" ht="19.899999999999999" customHeight="1" x14ac:dyDescent="0.15">
      <c r="B26" s="212"/>
      <c r="C26" s="213"/>
      <c r="D26" s="213"/>
      <c r="E26" s="213"/>
      <c r="F26" s="214"/>
      <c r="G26" s="219"/>
      <c r="H26" s="219"/>
      <c r="I26" s="219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</row>
    <row r="27" spans="2:22" ht="19.899999999999999" customHeight="1" x14ac:dyDescent="0.15">
      <c r="B27" s="233" t="s">
        <v>72</v>
      </c>
      <c r="C27" s="234"/>
      <c r="D27" s="234"/>
      <c r="E27" s="234"/>
      <c r="F27" s="235"/>
      <c r="G27" s="219">
        <f ca="1">(税率!H12-税率!H15)*(税率!F20/12)</f>
        <v>0</v>
      </c>
      <c r="H27" s="219">
        <f ca="1">(税率!L12-税率!L15)*(税率!J20/12)</f>
        <v>0</v>
      </c>
      <c r="I27" s="219">
        <f ca="1">税率!M27-税率!M30</f>
        <v>0</v>
      </c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</row>
    <row r="28" spans="2:22" ht="19.899999999999999" customHeight="1" x14ac:dyDescent="0.15">
      <c r="B28" s="209"/>
      <c r="C28" s="210"/>
      <c r="D28" s="210"/>
      <c r="E28" s="210"/>
      <c r="F28" s="211"/>
      <c r="G28" s="236"/>
      <c r="H28" s="236"/>
      <c r="I28" s="23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</row>
    <row r="29" spans="2:22" ht="19.899999999999999" customHeight="1" x14ac:dyDescent="0.15">
      <c r="B29" s="206" t="s">
        <v>73</v>
      </c>
      <c r="C29" s="207"/>
      <c r="D29" s="207"/>
      <c r="E29" s="207"/>
      <c r="F29" s="208"/>
      <c r="G29" s="218" t="str">
        <f ca="1">IF(税率!H17&lt;=税率!H18,"-",(税率!H17-税率!H18)*(税率!F20/12))</f>
        <v>-</v>
      </c>
      <c r="H29" s="218" t="str">
        <f ca="1">IF(税率!L17&lt;=税率!L18,"-",(税率!L17-税率!L18)*(税率!J20/12))</f>
        <v>-</v>
      </c>
      <c r="I29" s="218" t="str">
        <f ca="1">IF(税率!M35=0,"-",税率!M35)</f>
        <v>-</v>
      </c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</row>
    <row r="30" spans="2:22" ht="19.899999999999999" customHeight="1" thickBot="1" x14ac:dyDescent="0.2">
      <c r="B30" s="243"/>
      <c r="C30" s="244"/>
      <c r="D30" s="244"/>
      <c r="E30" s="244"/>
      <c r="F30" s="245"/>
      <c r="G30" s="240"/>
      <c r="H30" s="240"/>
      <c r="I30" s="240"/>
      <c r="L30" s="166"/>
      <c r="M30" s="134"/>
      <c r="N30" s="134"/>
      <c r="O30" s="134"/>
      <c r="P30" s="134"/>
      <c r="Q30" s="134"/>
      <c r="R30" s="134"/>
      <c r="S30" s="134"/>
      <c r="T30" s="134"/>
      <c r="U30" s="134"/>
      <c r="V30" s="134"/>
    </row>
    <row r="31" spans="2:22" ht="19.899999999999999" customHeight="1" thickTop="1" x14ac:dyDescent="0.15">
      <c r="B31" s="246" t="s">
        <v>21</v>
      </c>
      <c r="C31" s="247"/>
      <c r="D31" s="247"/>
      <c r="E31" s="247"/>
      <c r="F31" s="248"/>
      <c r="G31" s="241">
        <f ca="1">ROUNDDOWN(G23+G25+G27-IF(G29="-",0,G29),-2)</f>
        <v>0</v>
      </c>
      <c r="H31" s="241">
        <f t="shared" ref="H31:I31" ca="1" si="2">ROUNDDOWN(H23+H25+H27-IF(H29="-",0,H29),-2)</f>
        <v>0</v>
      </c>
      <c r="I31" s="241">
        <f t="shared" ca="1" si="2"/>
        <v>0</v>
      </c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</row>
    <row r="32" spans="2:22" ht="19.899999999999999" customHeight="1" x14ac:dyDescent="0.15">
      <c r="B32" s="209"/>
      <c r="C32" s="210"/>
      <c r="D32" s="210"/>
      <c r="E32" s="210"/>
      <c r="F32" s="211"/>
      <c r="G32" s="242"/>
      <c r="H32" s="242"/>
      <c r="I32" s="242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</row>
    <row r="33" spans="2:22" ht="25.15" customHeight="1" thickBot="1" x14ac:dyDescent="0.2">
      <c r="B33" s="87" t="s">
        <v>106</v>
      </c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</row>
    <row r="34" spans="2:22" ht="50.1" customHeight="1" thickBot="1" x14ac:dyDescent="0.2">
      <c r="B34" s="164" t="str">
        <f ca="1">税率!C21&amp;"名加入"</f>
        <v>0名加入</v>
      </c>
      <c r="C34" s="239">
        <f>税率!F20</f>
        <v>12</v>
      </c>
      <c r="D34" s="239"/>
      <c r="E34" s="238" t="s">
        <v>167</v>
      </c>
      <c r="F34" s="238"/>
      <c r="G34" s="237" t="str">
        <f>VLOOKUP(税率!H63,税率!G64:H66,2,FALSE)</f>
        <v/>
      </c>
      <c r="H34" s="237"/>
      <c r="I34" s="94" t="s">
        <v>0</v>
      </c>
      <c r="J34" s="135"/>
      <c r="K34" s="134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</row>
    <row r="35" spans="2:22" ht="25.15" customHeight="1" x14ac:dyDescent="0.15">
      <c r="G35" s="86" t="str">
        <f ca="1">VLOOKUP(税率!H56,税率!G57:H60,2,FALSE)</f>
        <v/>
      </c>
      <c r="H35" s="125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</row>
    <row r="36" spans="2:22" s="91" customFormat="1" ht="25.15" customHeight="1" x14ac:dyDescent="0.15">
      <c r="Q36" s="86"/>
      <c r="R36" s="86"/>
      <c r="S36" s="86"/>
      <c r="T36" s="86"/>
      <c r="U36" s="86"/>
    </row>
  </sheetData>
  <sheetProtection algorithmName="SHA-512" hashValue="GR7/jpuAulMl/yDvPwa1Qoc8CfJeYa5THxlyj9URUJWI8Z9K+17SIenBye8dCAWMYuxwJ6rqKsorUegpqo0U5w==" saltValue="8EH1j6ozAQcuxPMQDMnHQg==" spinCount="100000" sheet="1" objects="1" scenarios="1" selectLockedCells="1"/>
  <mergeCells count="42">
    <mergeCell ref="G34:H34"/>
    <mergeCell ref="E34:F34"/>
    <mergeCell ref="C34:D34"/>
    <mergeCell ref="H29:H30"/>
    <mergeCell ref="I29:I30"/>
    <mergeCell ref="G31:G32"/>
    <mergeCell ref="G29:G30"/>
    <mergeCell ref="B29:F30"/>
    <mergeCell ref="B31:F32"/>
    <mergeCell ref="H31:H32"/>
    <mergeCell ref="I31:I32"/>
    <mergeCell ref="I25:I26"/>
    <mergeCell ref="H25:H26"/>
    <mergeCell ref="B25:F26"/>
    <mergeCell ref="B27:F28"/>
    <mergeCell ref="G25:G26"/>
    <mergeCell ref="G27:G28"/>
    <mergeCell ref="I27:I28"/>
    <mergeCell ref="H27:H28"/>
    <mergeCell ref="W4:W5"/>
    <mergeCell ref="B4:B5"/>
    <mergeCell ref="G4:L4"/>
    <mergeCell ref="M4:M5"/>
    <mergeCell ref="P9:U9"/>
    <mergeCell ref="N4:N5"/>
    <mergeCell ref="C4:F4"/>
    <mergeCell ref="P1:U2"/>
    <mergeCell ref="P8:U8"/>
    <mergeCell ref="P11:U11"/>
    <mergeCell ref="B21:F22"/>
    <mergeCell ref="B23:F24"/>
    <mergeCell ref="D1:K1"/>
    <mergeCell ref="P3:U3"/>
    <mergeCell ref="G21:G22"/>
    <mergeCell ref="G23:G24"/>
    <mergeCell ref="P13:U13"/>
    <mergeCell ref="I23:I24"/>
    <mergeCell ref="H23:H24"/>
    <mergeCell ref="I21:I22"/>
    <mergeCell ref="H21:H22"/>
    <mergeCell ref="P16:U16"/>
    <mergeCell ref="B18:E18"/>
  </mergeCells>
  <phoneticPr fontId="1"/>
  <dataValidations count="3">
    <dataValidation type="list" allowBlank="1" showInputMessage="1" showErrorMessage="1" sqref="M6">
      <formula1>"加入する,加入しない"</formula1>
    </dataValidation>
    <dataValidation type="list" allowBlank="1" showInputMessage="1" showErrorMessage="1" sqref="C6:C15">
      <formula1>"大正,昭和,平成,令和"</formula1>
    </dataValidation>
    <dataValidation type="list" allowBlank="1" showInputMessage="1" showErrorMessage="1" sqref="B18">
      <formula1>"4,5,6,7,8,9,10,11,12,1,2,3"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81"/>
  <sheetViews>
    <sheetView workbookViewId="0">
      <selection activeCell="K3" sqref="K3"/>
    </sheetView>
  </sheetViews>
  <sheetFormatPr defaultRowHeight="13.5" x14ac:dyDescent="0.15"/>
  <cols>
    <col min="1" max="1" width="9.5" bestFit="1" customWidth="1"/>
    <col min="2" max="2" width="11.25" customWidth="1"/>
    <col min="6" max="6" width="9.875" customWidth="1"/>
    <col min="8" max="8" width="11.375" customWidth="1"/>
    <col min="9" max="9" width="8.75" customWidth="1"/>
    <col min="10" max="11" width="8.125" customWidth="1"/>
    <col min="13" max="13" width="11.375" customWidth="1"/>
    <col min="14" max="14" width="9.375" bestFit="1" customWidth="1"/>
    <col min="15" max="15" width="9.25" customWidth="1"/>
    <col min="16" max="16" width="5.375" bestFit="1" customWidth="1"/>
  </cols>
  <sheetData>
    <row r="1" spans="1:18" ht="28.5" customHeight="1" thickBot="1" x14ac:dyDescent="0.2">
      <c r="A1" s="56" t="s">
        <v>2</v>
      </c>
      <c r="B1" s="84">
        <v>2024</v>
      </c>
      <c r="C1" s="58" t="s">
        <v>80</v>
      </c>
    </row>
    <row r="2" spans="1:18" x14ac:dyDescent="0.15">
      <c r="A2" s="8"/>
      <c r="B2" s="83" t="s">
        <v>3</v>
      </c>
      <c r="C2" s="8" t="s">
        <v>4</v>
      </c>
      <c r="D2" s="8" t="s">
        <v>5</v>
      </c>
      <c r="E2" s="2"/>
      <c r="F2" s="263" t="s">
        <v>56</v>
      </c>
      <c r="G2" s="263"/>
      <c r="H2" s="10">
        <v>430000</v>
      </c>
      <c r="J2" s="263" t="s">
        <v>176</v>
      </c>
      <c r="K2" s="263"/>
    </row>
    <row r="3" spans="1:18" x14ac:dyDescent="0.15">
      <c r="A3" s="1" t="s">
        <v>6</v>
      </c>
      <c r="B3" s="4">
        <v>6.6900000000000001E-2</v>
      </c>
      <c r="C3" s="4">
        <v>3.0300000000000001E-2</v>
      </c>
      <c r="D3" s="4">
        <v>2.4E-2</v>
      </c>
      <c r="E3" s="6"/>
      <c r="F3" s="263" t="s">
        <v>91</v>
      </c>
      <c r="G3" s="263"/>
      <c r="H3" s="188">
        <f>DATE(B1,1,1)</f>
        <v>45292</v>
      </c>
      <c r="J3" s="189" t="s">
        <v>174</v>
      </c>
      <c r="K3" s="1">
        <v>295000</v>
      </c>
    </row>
    <row r="4" spans="1:18" x14ac:dyDescent="0.15">
      <c r="A4" s="1" t="s">
        <v>7</v>
      </c>
      <c r="B4" s="1">
        <v>21600</v>
      </c>
      <c r="C4" s="1">
        <v>9600</v>
      </c>
      <c r="D4" s="1">
        <v>9300</v>
      </c>
      <c r="E4" s="2"/>
      <c r="F4" s="263" t="s">
        <v>94</v>
      </c>
      <c r="G4" s="263"/>
      <c r="H4" s="188">
        <f>DATE(B1-65,1,1)</f>
        <v>21551</v>
      </c>
      <c r="J4" s="189" t="s">
        <v>175</v>
      </c>
      <c r="K4" s="1">
        <v>545000</v>
      </c>
    </row>
    <row r="5" spans="1:18" x14ac:dyDescent="0.15">
      <c r="A5" s="1" t="s">
        <v>8</v>
      </c>
      <c r="B5" s="1">
        <v>23400</v>
      </c>
      <c r="C5" s="1">
        <v>10200</v>
      </c>
      <c r="D5" s="1">
        <v>7500</v>
      </c>
      <c r="E5" s="2"/>
    </row>
    <row r="6" spans="1:18" x14ac:dyDescent="0.15">
      <c r="A6" s="5" t="s">
        <v>20</v>
      </c>
      <c r="B6" s="1">
        <v>650000</v>
      </c>
      <c r="C6" s="1">
        <v>240000</v>
      </c>
      <c r="D6" s="1">
        <v>170000</v>
      </c>
      <c r="E6" s="2"/>
    </row>
    <row r="8" spans="1:18" x14ac:dyDescent="0.15">
      <c r="O8" s="56" t="s">
        <v>172</v>
      </c>
    </row>
    <row r="9" spans="1:18" x14ac:dyDescent="0.15">
      <c r="C9" s="56" t="s">
        <v>19</v>
      </c>
      <c r="F9" s="56" t="s">
        <v>27</v>
      </c>
      <c r="J9" s="56" t="s">
        <v>28</v>
      </c>
      <c r="O9" s="136">
        <f>DATE(B1-6,4,2)</f>
        <v>43192</v>
      </c>
      <c r="P9" t="s">
        <v>130</v>
      </c>
      <c r="Q9" s="56" t="s">
        <v>137</v>
      </c>
    </row>
    <row r="10" spans="1:18" ht="13.35" customHeight="1" x14ac:dyDescent="0.15">
      <c r="B10" s="65" t="s">
        <v>143</v>
      </c>
      <c r="C10" s="65" t="s">
        <v>86</v>
      </c>
      <c r="D10" s="65" t="s">
        <v>122</v>
      </c>
      <c r="F10" s="258" t="s">
        <v>26</v>
      </c>
      <c r="G10" s="1" t="s">
        <v>6</v>
      </c>
      <c r="H10" s="10">
        <f ca="1">D21*B3</f>
        <v>0</v>
      </c>
      <c r="J10" s="258" t="s">
        <v>26</v>
      </c>
      <c r="K10" s="1" t="s">
        <v>6</v>
      </c>
      <c r="L10" s="10">
        <f ca="1">D21*C3</f>
        <v>0</v>
      </c>
      <c r="O10" s="65" t="s">
        <v>129</v>
      </c>
      <c r="Q10" s="65" t="s">
        <v>135</v>
      </c>
      <c r="R10" s="1">
        <f ca="1">O21*B4</f>
        <v>0</v>
      </c>
    </row>
    <row r="11" spans="1:18" x14ac:dyDescent="0.15">
      <c r="A11" s="53" t="s">
        <v>46</v>
      </c>
      <c r="B11" s="1">
        <f ca="1">I70</f>
        <v>0</v>
      </c>
      <c r="C11" s="1">
        <f ca="1">IF(AND(B11=1,概算シート!M6="加入する"),1,0)</f>
        <v>0</v>
      </c>
      <c r="D11" s="1">
        <f ca="1">IF(AND(C11=1,概算シート!L6-$H$2&gt;0),概算シート!L6-$H$2,0)</f>
        <v>0</v>
      </c>
      <c r="F11" s="259"/>
      <c r="G11" s="1" t="s">
        <v>7</v>
      </c>
      <c r="H11" s="10">
        <f ca="1">SUM(C11:C20)*B4</f>
        <v>0</v>
      </c>
      <c r="J11" s="259"/>
      <c r="K11" s="1" t="s">
        <v>7</v>
      </c>
      <c r="L11" s="10">
        <f ca="1">SUM(C11:C20)*C4</f>
        <v>0</v>
      </c>
      <c r="N11" s="53" t="s">
        <v>46</v>
      </c>
      <c r="O11" s="1">
        <f ca="1">IF(AND(B11=1,概算シート!W6&gt;=税率!$O$9),C11,0)</f>
        <v>0</v>
      </c>
      <c r="Q11" s="65" t="s">
        <v>132</v>
      </c>
      <c r="R11" s="1">
        <f ca="1">D61</f>
        <v>0</v>
      </c>
    </row>
    <row r="12" spans="1:18" x14ac:dyDescent="0.15">
      <c r="A12" s="53" t="s">
        <v>9</v>
      </c>
      <c r="B12" s="1">
        <f t="shared" ref="B12:B20" ca="1" si="0">I71</f>
        <v>0</v>
      </c>
      <c r="C12" s="1">
        <f ca="1">IF(B12=1,1,0)</f>
        <v>0</v>
      </c>
      <c r="D12" s="1">
        <f ca="1">IF(AND(C12=1,概算シート!L7-$H$2&gt;0),概算シート!L7-$H$2,0)</f>
        <v>0</v>
      </c>
      <c r="F12" s="259"/>
      <c r="G12" s="1" t="s">
        <v>8</v>
      </c>
      <c r="H12" s="10">
        <f ca="1">IF(H11=0,0,B5)</f>
        <v>0</v>
      </c>
      <c r="J12" s="259"/>
      <c r="K12" s="1" t="s">
        <v>8</v>
      </c>
      <c r="L12" s="10">
        <f ca="1">IF(L11=0,0,C5)</f>
        <v>0</v>
      </c>
      <c r="N12" s="53" t="s">
        <v>9</v>
      </c>
      <c r="O12" s="1">
        <f ca="1">IF(AND(B12=1,概算シート!W7&gt;=税率!$O$9),C12,0)</f>
        <v>0</v>
      </c>
      <c r="Q12" s="65" t="s">
        <v>133</v>
      </c>
      <c r="R12" s="1">
        <f ca="1">R10*(1-R11)</f>
        <v>0</v>
      </c>
    </row>
    <row r="13" spans="1:18" x14ac:dyDescent="0.15">
      <c r="A13" s="53" t="s">
        <v>10</v>
      </c>
      <c r="B13" s="1">
        <f t="shared" ca="1" si="0"/>
        <v>0</v>
      </c>
      <c r="C13" s="1">
        <f t="shared" ref="C13:C20" ca="1" si="1">IF(B13=1,1,0)</f>
        <v>0</v>
      </c>
      <c r="D13" s="1">
        <f ca="1">IF(AND(C13=1,概算シート!L8-$H$2&gt;0),概算シート!L8-$H$2,0)</f>
        <v>0</v>
      </c>
      <c r="F13" s="259"/>
      <c r="G13" s="7" t="s">
        <v>21</v>
      </c>
      <c r="H13" s="11">
        <f ca="1">SUM(H10:H12)</f>
        <v>0</v>
      </c>
      <c r="J13" s="259"/>
      <c r="K13" s="7" t="s">
        <v>21</v>
      </c>
      <c r="L13" s="11">
        <f ca="1">SUM(L10:L12)</f>
        <v>0</v>
      </c>
      <c r="N13" s="53" t="s">
        <v>10</v>
      </c>
      <c r="O13" s="1">
        <f ca="1">IF(AND(B13=1,概算シート!W8&gt;=税率!$O$9),C13,0)</f>
        <v>0</v>
      </c>
      <c r="Q13" s="65" t="s">
        <v>134</v>
      </c>
      <c r="R13" s="1">
        <f ca="1">R12/2</f>
        <v>0</v>
      </c>
    </row>
    <row r="14" spans="1:18" x14ac:dyDescent="0.15">
      <c r="A14" s="53" t="s">
        <v>11</v>
      </c>
      <c r="B14" s="1">
        <f t="shared" ca="1" si="0"/>
        <v>0</v>
      </c>
      <c r="C14" s="1">
        <f t="shared" ca="1" si="1"/>
        <v>0</v>
      </c>
      <c r="D14" s="1">
        <f ca="1">IF(AND(C14=1,概算シート!L9-$H$2&gt;0),概算シート!L9-$H$2,0)</f>
        <v>0</v>
      </c>
      <c r="F14" s="259"/>
      <c r="G14" s="5" t="s">
        <v>22</v>
      </c>
      <c r="H14" s="10">
        <f ca="1">IF($D$61&gt;0,H11*($D$61),0)</f>
        <v>0</v>
      </c>
      <c r="J14" s="259"/>
      <c r="K14" s="5" t="s">
        <v>22</v>
      </c>
      <c r="L14" s="10">
        <f ca="1">IF($D$61&gt;0,L11*($D$61),0)</f>
        <v>0</v>
      </c>
      <c r="N14" s="53" t="s">
        <v>11</v>
      </c>
      <c r="O14" s="1">
        <f ca="1">IF(AND(B14=1,概算シート!W9&gt;=税率!$O$9),C14,0)</f>
        <v>0</v>
      </c>
    </row>
    <row r="15" spans="1:18" x14ac:dyDescent="0.15">
      <c r="A15" s="53" t="s">
        <v>12</v>
      </c>
      <c r="B15" s="1">
        <f t="shared" ca="1" si="0"/>
        <v>0</v>
      </c>
      <c r="C15" s="1">
        <f t="shared" ca="1" si="1"/>
        <v>0</v>
      </c>
      <c r="D15" s="1">
        <f ca="1">IF(AND(C15=1,概算シート!L10-$H$2&gt;0),概算シート!L10-$H$2,0)</f>
        <v>0</v>
      </c>
      <c r="F15" s="259"/>
      <c r="G15" s="5" t="s">
        <v>23</v>
      </c>
      <c r="H15" s="10">
        <f ca="1">IF($D$61&gt;0,H12*($D$61),0)</f>
        <v>0</v>
      </c>
      <c r="J15" s="259"/>
      <c r="K15" s="5" t="s">
        <v>23</v>
      </c>
      <c r="L15" s="10">
        <f ca="1">IF($D$61&gt;0,L12*($D$61),0)</f>
        <v>0</v>
      </c>
      <c r="N15" s="53" t="s">
        <v>12</v>
      </c>
      <c r="O15" s="1">
        <f ca="1">IF(AND(B15=1,概算シート!W10&gt;=税率!$O$9),C15,0)</f>
        <v>0</v>
      </c>
      <c r="Q15" s="137" t="s">
        <v>138</v>
      </c>
    </row>
    <row r="16" spans="1:18" x14ac:dyDescent="0.15">
      <c r="A16" s="53" t="s">
        <v>13</v>
      </c>
      <c r="B16" s="1">
        <f t="shared" ca="1" si="0"/>
        <v>0</v>
      </c>
      <c r="C16" s="1">
        <f t="shared" ca="1" si="1"/>
        <v>0</v>
      </c>
      <c r="D16" s="1">
        <f ca="1">IF(AND(C16=1,概算シート!L11-$H$2&gt;0),概算シート!L11-$H$2,0)</f>
        <v>0</v>
      </c>
      <c r="F16" s="259"/>
      <c r="G16" s="5" t="s">
        <v>136</v>
      </c>
      <c r="H16" s="1">
        <f ca="1">R13</f>
        <v>0</v>
      </c>
      <c r="J16" s="259"/>
      <c r="K16" s="5" t="s">
        <v>136</v>
      </c>
      <c r="L16" s="1">
        <f ca="1">R19</f>
        <v>0</v>
      </c>
      <c r="N16" s="53" t="s">
        <v>13</v>
      </c>
      <c r="O16" s="1">
        <f ca="1">IF(AND(B16=1,概算シート!W11&gt;=税率!$O$9),C16,0)</f>
        <v>0</v>
      </c>
      <c r="Q16" s="65" t="s">
        <v>135</v>
      </c>
      <c r="R16" s="1">
        <f ca="1">O21*C4</f>
        <v>0</v>
      </c>
    </row>
    <row r="17" spans="1:18" x14ac:dyDescent="0.15">
      <c r="A17" s="53" t="s">
        <v>14</v>
      </c>
      <c r="B17" s="1">
        <f t="shared" ca="1" si="0"/>
        <v>0</v>
      </c>
      <c r="C17" s="1">
        <f t="shared" ca="1" si="1"/>
        <v>0</v>
      </c>
      <c r="D17" s="1">
        <f ca="1">IF(AND(C17=1,概算シート!L12-$H$2&gt;0),概算シート!L12-$H$2,0)</f>
        <v>0</v>
      </c>
      <c r="F17" s="259"/>
      <c r="G17" s="7" t="s">
        <v>25</v>
      </c>
      <c r="H17" s="11">
        <f ca="1">H13-H14-H15-H16</f>
        <v>0</v>
      </c>
      <c r="J17" s="259"/>
      <c r="K17" s="7" t="s">
        <v>25</v>
      </c>
      <c r="L17" s="11">
        <f ca="1">L13-L14-L15-L16</f>
        <v>0</v>
      </c>
      <c r="N17" s="53" t="s">
        <v>14</v>
      </c>
      <c r="O17" s="1">
        <f ca="1">IF(AND(B17=1,概算シート!W12&gt;=税率!$O$9),C17,0)</f>
        <v>0</v>
      </c>
      <c r="Q17" s="65" t="s">
        <v>132</v>
      </c>
      <c r="R17" s="1">
        <f ca="1">R11</f>
        <v>0</v>
      </c>
    </row>
    <row r="18" spans="1:18" x14ac:dyDescent="0.15">
      <c r="A18" s="53" t="s">
        <v>15</v>
      </c>
      <c r="B18" s="1">
        <f t="shared" ca="1" si="0"/>
        <v>0</v>
      </c>
      <c r="C18" s="1">
        <f t="shared" ca="1" si="1"/>
        <v>0</v>
      </c>
      <c r="D18" s="1">
        <f ca="1">IF(AND(C18=1,概算シート!L13-$H$2&gt;0),概算シート!L13-$H$2,0)</f>
        <v>0</v>
      </c>
      <c r="F18" s="259"/>
      <c r="G18" s="1" t="s">
        <v>20</v>
      </c>
      <c r="H18" s="10">
        <f>B6</f>
        <v>650000</v>
      </c>
      <c r="J18" s="259"/>
      <c r="K18" s="1" t="s">
        <v>20</v>
      </c>
      <c r="L18" s="10">
        <f>C6</f>
        <v>240000</v>
      </c>
      <c r="N18" s="53" t="s">
        <v>15</v>
      </c>
      <c r="O18" s="1">
        <f ca="1">IF(AND(B18=1,概算シート!W13&gt;=税率!$O$9),C18,0)</f>
        <v>0</v>
      </c>
      <c r="Q18" s="65" t="s">
        <v>133</v>
      </c>
      <c r="R18" s="1">
        <f ca="1">R16*(1-R17)</f>
        <v>0</v>
      </c>
    </row>
    <row r="19" spans="1:18" x14ac:dyDescent="0.15">
      <c r="A19" s="53" t="s">
        <v>16</v>
      </c>
      <c r="B19" s="1">
        <f t="shared" ca="1" si="0"/>
        <v>0</v>
      </c>
      <c r="C19" s="1">
        <f t="shared" ca="1" si="1"/>
        <v>0</v>
      </c>
      <c r="D19" s="1">
        <f ca="1">IF(AND(C19=1,概算シート!L14-$H$2&gt;0),概算シート!L14-$H$2,0)</f>
        <v>0</v>
      </c>
      <c r="F19" s="260"/>
      <c r="G19" s="7" t="s">
        <v>24</v>
      </c>
      <c r="H19" s="11">
        <f ca="1">ROUNDDOWN(IF(H17&gt;H18,H18,H17),-2)</f>
        <v>0</v>
      </c>
      <c r="J19" s="260"/>
      <c r="K19" s="7" t="s">
        <v>24</v>
      </c>
      <c r="L19" s="11">
        <f ca="1">ROUNDDOWN(IF(L17&gt;L18,L18,L17),-2)</f>
        <v>0</v>
      </c>
      <c r="N19" s="53" t="s">
        <v>16</v>
      </c>
      <c r="O19" s="1">
        <f ca="1">IF(AND(B19=1,概算シート!W14&gt;=税率!$O$9),C19,0)</f>
        <v>0</v>
      </c>
      <c r="Q19" s="65" t="s">
        <v>134</v>
      </c>
      <c r="R19" s="1">
        <f ca="1">R18/2</f>
        <v>0</v>
      </c>
    </row>
    <row r="20" spans="1:18" x14ac:dyDescent="0.15">
      <c r="A20" s="53" t="s">
        <v>17</v>
      </c>
      <c r="B20" s="1">
        <f t="shared" ca="1" si="0"/>
        <v>0</v>
      </c>
      <c r="C20" s="1">
        <f t="shared" ca="1" si="1"/>
        <v>0</v>
      </c>
      <c r="D20" s="1">
        <f ca="1">IF(AND(C20=1,概算シート!L15-$H$2&gt;0),概算シート!L15-$H$2,0)</f>
        <v>0</v>
      </c>
      <c r="F20" s="261">
        <f>16-IF(概算シート!B18&lt;4,概算シート!B18+12,概算シート!B18)</f>
        <v>12</v>
      </c>
      <c r="G20" s="262"/>
      <c r="H20" s="10">
        <f ca="1">ROUNDDOWN(H19*(F20/12),-2)</f>
        <v>0</v>
      </c>
      <c r="J20" s="261">
        <f>F20</f>
        <v>12</v>
      </c>
      <c r="K20" s="262"/>
      <c r="L20" s="10">
        <f ca="1">ROUNDDOWN(L19*(J20/12),-2)</f>
        <v>0</v>
      </c>
      <c r="N20" s="53" t="s">
        <v>17</v>
      </c>
      <c r="O20" s="1">
        <f ca="1">IF(AND(B20=1,概算シート!W15&gt;=税率!$O$9),C20,0)</f>
        <v>0</v>
      </c>
    </row>
    <row r="21" spans="1:18" x14ac:dyDescent="0.15">
      <c r="A21" s="53"/>
      <c r="C21">
        <f ca="1">SUM(C11:C20)</f>
        <v>0</v>
      </c>
      <c r="D21" s="2">
        <f ca="1">SUM(D11:D20)</f>
        <v>0</v>
      </c>
      <c r="L21" s="2"/>
      <c r="N21" s="53" t="s">
        <v>131</v>
      </c>
      <c r="O21">
        <f ca="1">SUM(O11:O20)</f>
        <v>0</v>
      </c>
    </row>
    <row r="22" spans="1:18" x14ac:dyDescent="0.15">
      <c r="G22" s="2"/>
      <c r="H22" s="2"/>
      <c r="I22" s="2"/>
      <c r="J22" s="2"/>
      <c r="K22" s="2"/>
    </row>
    <row r="23" spans="1:18" x14ac:dyDescent="0.15">
      <c r="G23" s="2"/>
      <c r="H23" s="2"/>
      <c r="I23" s="9"/>
      <c r="J23" s="9"/>
      <c r="K23" s="2"/>
    </row>
    <row r="24" spans="1:18" x14ac:dyDescent="0.15">
      <c r="B24" s="56"/>
      <c r="K24" s="56" t="s">
        <v>29</v>
      </c>
      <c r="L24" t="s">
        <v>203</v>
      </c>
    </row>
    <row r="25" spans="1:18" x14ac:dyDescent="0.15">
      <c r="B25" s="65"/>
      <c r="C25" s="65"/>
      <c r="D25" s="65"/>
      <c r="E25" s="65"/>
      <c r="G25" s="65"/>
      <c r="H25" s="65"/>
      <c r="I25" s="65"/>
      <c r="J25" s="57"/>
      <c r="K25" s="249" t="s">
        <v>90</v>
      </c>
      <c r="L25" s="1" t="s">
        <v>6</v>
      </c>
      <c r="M25" s="10">
        <f ca="1">ROUND(介護2号判定!T56,0)</f>
        <v>0</v>
      </c>
    </row>
    <row r="26" spans="1:18" x14ac:dyDescent="0.15">
      <c r="A26" s="53"/>
      <c r="B26" s="1"/>
      <c r="C26" s="1"/>
      <c r="D26" s="1"/>
      <c r="E26" s="1"/>
      <c r="G26" s="82"/>
      <c r="H26" s="1"/>
      <c r="I26" s="1"/>
      <c r="J26" s="2"/>
      <c r="K26" s="249"/>
      <c r="L26" s="1" t="s">
        <v>7</v>
      </c>
      <c r="M26" s="10">
        <f ca="1">ROUND(介護2号判定!T70,0)</f>
        <v>0</v>
      </c>
    </row>
    <row r="27" spans="1:18" x14ac:dyDescent="0.15">
      <c r="A27" s="53"/>
      <c r="B27" s="1"/>
      <c r="C27" s="1"/>
      <c r="D27" s="1"/>
      <c r="E27" s="1"/>
      <c r="G27" s="82"/>
      <c r="H27" s="1"/>
      <c r="I27" s="1"/>
      <c r="J27" s="2"/>
      <c r="K27" s="249"/>
      <c r="L27" s="1" t="s">
        <v>8</v>
      </c>
      <c r="M27" s="10">
        <f ca="1">ROUND(介護2号判定!T71,0)</f>
        <v>0</v>
      </c>
    </row>
    <row r="28" spans="1:18" x14ac:dyDescent="0.15">
      <c r="A28" s="53"/>
      <c r="B28" s="1"/>
      <c r="C28" s="1"/>
      <c r="D28" s="1"/>
      <c r="E28" s="1"/>
      <c r="G28" s="82"/>
      <c r="H28" s="1"/>
      <c r="I28" s="1"/>
      <c r="J28" s="2"/>
      <c r="K28" s="249"/>
      <c r="L28" s="7" t="s">
        <v>21</v>
      </c>
      <c r="M28" s="11">
        <f ca="1">SUM(M25:M27)</f>
        <v>0</v>
      </c>
    </row>
    <row r="29" spans="1:18" x14ac:dyDescent="0.15">
      <c r="A29" s="53"/>
      <c r="B29" s="1"/>
      <c r="C29" s="1"/>
      <c r="D29" s="1"/>
      <c r="E29" s="1"/>
      <c r="G29" s="82"/>
      <c r="H29" s="1"/>
      <c r="I29" s="1"/>
      <c r="J29" s="2"/>
      <c r="K29" s="249"/>
      <c r="L29" s="5" t="s">
        <v>22</v>
      </c>
      <c r="M29" s="10">
        <f ca="1">ROUND(介護2号判定!T75,0)</f>
        <v>0</v>
      </c>
    </row>
    <row r="30" spans="1:18" x14ac:dyDescent="0.15">
      <c r="A30" s="53"/>
      <c r="B30" s="1"/>
      <c r="C30" s="1"/>
      <c r="D30" s="1"/>
      <c r="E30" s="1"/>
      <c r="G30" s="82"/>
      <c r="H30" s="1"/>
      <c r="I30" s="1"/>
      <c r="J30" s="2"/>
      <c r="K30" s="249"/>
      <c r="L30" s="5" t="s">
        <v>23</v>
      </c>
      <c r="M30" s="10">
        <f ca="1">ROUND(介護2号判定!T76,0)</f>
        <v>0</v>
      </c>
    </row>
    <row r="31" spans="1:18" x14ac:dyDescent="0.15">
      <c r="A31" s="53"/>
      <c r="B31" s="1"/>
      <c r="C31" s="1"/>
      <c r="D31" s="1"/>
      <c r="E31" s="1"/>
      <c r="G31" s="82"/>
      <c r="H31" s="1"/>
      <c r="I31" s="1"/>
      <c r="J31" s="2"/>
      <c r="K31" s="249"/>
      <c r="L31" s="7" t="s">
        <v>25</v>
      </c>
      <c r="M31" s="11">
        <f ca="1">M28-M29-M30</f>
        <v>0</v>
      </c>
    </row>
    <row r="32" spans="1:18" x14ac:dyDescent="0.15">
      <c r="A32" s="53"/>
      <c r="B32" s="1"/>
      <c r="C32" s="1"/>
      <c r="D32" s="1"/>
      <c r="E32" s="1"/>
      <c r="G32" s="82"/>
      <c r="H32" s="1"/>
      <c r="I32" s="1"/>
      <c r="J32" s="2"/>
      <c r="K32" s="249"/>
      <c r="L32" s="1" t="s">
        <v>20</v>
      </c>
      <c r="M32" s="10" t="s">
        <v>202</v>
      </c>
    </row>
    <row r="33" spans="1:13" x14ac:dyDescent="0.15">
      <c r="A33" s="53"/>
      <c r="B33" s="1"/>
      <c r="C33" s="1"/>
      <c r="D33" s="1"/>
      <c r="E33" s="1"/>
      <c r="G33" s="82"/>
      <c r="H33" s="1"/>
      <c r="I33" s="1"/>
      <c r="J33" s="2"/>
      <c r="K33" s="249"/>
      <c r="L33" s="7" t="s">
        <v>24</v>
      </c>
      <c r="M33" s="11">
        <f ca="1">ROUNDDOWN(介護2号判定!T86,-2)</f>
        <v>0</v>
      </c>
    </row>
    <row r="34" spans="1:13" x14ac:dyDescent="0.15">
      <c r="A34" s="53"/>
      <c r="B34" s="1"/>
      <c r="C34" s="1"/>
      <c r="D34" s="1"/>
      <c r="E34" s="1"/>
      <c r="G34" s="82"/>
      <c r="H34" s="1"/>
      <c r="I34" s="1"/>
      <c r="J34" s="2"/>
      <c r="K34" s="250"/>
      <c r="L34" s="250"/>
      <c r="M34" s="10">
        <f ca="1">M33</f>
        <v>0</v>
      </c>
    </row>
    <row r="35" spans="1:13" x14ac:dyDescent="0.15">
      <c r="A35" s="53"/>
      <c r="B35" s="1"/>
      <c r="C35" s="1"/>
      <c r="D35" s="1"/>
      <c r="E35" s="1"/>
      <c r="G35" s="82"/>
      <c r="H35" s="1"/>
      <c r="I35" s="1"/>
      <c r="J35" s="2"/>
      <c r="K35" s="2"/>
      <c r="L35" t="s">
        <v>224</v>
      </c>
      <c r="M35">
        <f ca="1">介護2号判定!T87</f>
        <v>0</v>
      </c>
    </row>
    <row r="36" spans="1:13" x14ac:dyDescent="0.15">
      <c r="B36" s="2"/>
      <c r="C36" s="2"/>
      <c r="D36" s="57"/>
      <c r="E36" s="57"/>
      <c r="G36" s="2"/>
      <c r="K36" s="2"/>
    </row>
    <row r="37" spans="1:13" x14ac:dyDescent="0.15">
      <c r="G37" s="255"/>
      <c r="H37" s="255"/>
      <c r="I37" s="1"/>
      <c r="J37" s="2"/>
      <c r="K37" s="2"/>
    </row>
    <row r="38" spans="1:13" x14ac:dyDescent="0.15">
      <c r="G38" s="2"/>
      <c r="H38" s="2"/>
      <c r="I38" s="9"/>
      <c r="J38" s="9"/>
      <c r="K38" s="2"/>
    </row>
    <row r="39" spans="1:13" x14ac:dyDescent="0.15">
      <c r="G39" s="2"/>
      <c r="H39" s="2"/>
      <c r="I39" s="9"/>
      <c r="J39" s="9"/>
      <c r="K39" s="2"/>
    </row>
    <row r="40" spans="1:13" x14ac:dyDescent="0.15">
      <c r="B40" s="56" t="s">
        <v>53</v>
      </c>
      <c r="G40" s="2"/>
      <c r="H40" s="2"/>
      <c r="I40" s="2"/>
      <c r="J40" s="2"/>
      <c r="K40" s="2"/>
    </row>
    <row r="41" spans="1:13" x14ac:dyDescent="0.15">
      <c r="B41" s="65" t="s">
        <v>92</v>
      </c>
      <c r="C41" s="65" t="s">
        <v>93</v>
      </c>
      <c r="D41" s="65" t="s">
        <v>55</v>
      </c>
      <c r="E41" s="65" t="s">
        <v>64</v>
      </c>
      <c r="F41" s="256" t="s">
        <v>54</v>
      </c>
      <c r="G41" s="257"/>
      <c r="H41" s="65" t="s">
        <v>70</v>
      </c>
      <c r="I41" s="2"/>
      <c r="J41" s="2"/>
    </row>
    <row r="42" spans="1:13" x14ac:dyDescent="0.15">
      <c r="A42" s="53" t="s">
        <v>46</v>
      </c>
      <c r="B42" s="81">
        <f>概算シート!W6</f>
        <v>0</v>
      </c>
      <c r="C42" s="1">
        <f t="shared" ref="C42:C51" si="2">IF(OR(B42=0,B42&gt;$H$4),0,1)</f>
        <v>0</v>
      </c>
      <c r="D42" s="1">
        <f>IF(C42=0,'3以後給与・年金所得換算(基礎)'!BR5,IF('3以後給与・年金所得換算(基礎)'!BR5&gt;150000,'3以後給与・年金所得換算(基礎)'!BR5-150000,0))</f>
        <v>0</v>
      </c>
      <c r="E42" s="1">
        <f>IF(C42=0,'3以後給与・年金所得換算(基礎)'!BQ5,'3以後給与・年金所得換算 (軽減)'!BQ5)</f>
        <v>0</v>
      </c>
      <c r="F42" s="1">
        <f>IF(C42=0,概算シート!L6,D42+E42+概算シート!K6)</f>
        <v>0</v>
      </c>
      <c r="G42" s="1">
        <f>IF(F42&lt;0,0,F42)</f>
        <v>0</v>
      </c>
      <c r="H42" s="1">
        <f>IF(OR(D42&gt;0,E42&gt;0,概算シート!G6&gt;550000),1,0)</f>
        <v>0</v>
      </c>
    </row>
    <row r="43" spans="1:13" x14ac:dyDescent="0.15">
      <c r="A43" s="53" t="s">
        <v>9</v>
      </c>
      <c r="B43" s="81">
        <f>概算シート!W7</f>
        <v>0</v>
      </c>
      <c r="C43" s="1">
        <f t="shared" si="2"/>
        <v>0</v>
      </c>
      <c r="D43" s="1">
        <f>IF(B43&gt;$H$4,'3以後給与・年金所得換算(基礎)'!BR6,IF('3以後給与・年金所得換算(基礎)'!BR6&gt;150000,'3以後給与・年金所得換算(基礎)'!BR6-150000,0))</f>
        <v>0</v>
      </c>
      <c r="E43" s="1">
        <f>IF(C43=0,'3以後給与・年金所得換算(基礎)'!BQ6,'3以後給与・年金所得換算 (軽減)'!BQ6)</f>
        <v>0</v>
      </c>
      <c r="F43" s="1">
        <f>IF(C43=0,概算シート!L7,D43+E43+概算シート!K7)</f>
        <v>0</v>
      </c>
      <c r="G43" s="1">
        <f t="shared" ref="G43:G51" si="3">IF(F43&lt;0,0,F43)</f>
        <v>0</v>
      </c>
      <c r="H43" s="1">
        <f>IF(OR(D43&gt;0,E43&gt;0,概算シート!G7&gt;550000),1,0)</f>
        <v>0</v>
      </c>
    </row>
    <row r="44" spans="1:13" x14ac:dyDescent="0.15">
      <c r="A44" s="53" t="s">
        <v>10</v>
      </c>
      <c r="B44" s="81">
        <f>概算シート!W8</f>
        <v>0</v>
      </c>
      <c r="C44" s="1">
        <f t="shared" si="2"/>
        <v>0</v>
      </c>
      <c r="D44" s="1">
        <f>IF(B44&gt;$H$4,'3以後給与・年金所得換算(基礎)'!BR7,IF('3以後給与・年金所得換算(基礎)'!BR7&gt;150000,'3以後給与・年金所得換算(基礎)'!BR7-150000,0))</f>
        <v>0</v>
      </c>
      <c r="E44" s="1">
        <f>IF(C44=0,'3以後給与・年金所得換算(基礎)'!BQ7,'3以後給与・年金所得換算 (軽減)'!BQ7)</f>
        <v>0</v>
      </c>
      <c r="F44" s="1">
        <f>IF(C44=0,概算シート!L8,D44+E44+概算シート!K8)</f>
        <v>0</v>
      </c>
      <c r="G44" s="1">
        <f t="shared" si="3"/>
        <v>0</v>
      </c>
      <c r="H44" s="1">
        <f>IF(OR(D44&gt;0,E44&gt;0,概算シート!G8&gt;550000),1,0)</f>
        <v>0</v>
      </c>
    </row>
    <row r="45" spans="1:13" x14ac:dyDescent="0.15">
      <c r="A45" s="53" t="s">
        <v>11</v>
      </c>
      <c r="B45" s="81">
        <f>概算シート!W9</f>
        <v>0</v>
      </c>
      <c r="C45" s="1">
        <f t="shared" si="2"/>
        <v>0</v>
      </c>
      <c r="D45" s="1">
        <f>IF(B45&gt;$H$4,'3以後給与・年金所得換算(基礎)'!BR8,IF('3以後給与・年金所得換算(基礎)'!BR8&gt;150000,'3以後給与・年金所得換算(基礎)'!BR8-150000,0))</f>
        <v>0</v>
      </c>
      <c r="E45" s="1">
        <f>IF(C45=0,'3以後給与・年金所得換算(基礎)'!BQ8,'3以後給与・年金所得換算 (軽減)'!BQ8)</f>
        <v>0</v>
      </c>
      <c r="F45" s="1">
        <f>IF(C45=0,概算シート!L9,D45+E45+概算シート!K9)</f>
        <v>0</v>
      </c>
      <c r="G45" s="1">
        <f t="shared" si="3"/>
        <v>0</v>
      </c>
      <c r="H45" s="1">
        <f>IF(OR(D45&gt;0,E45&gt;0,概算シート!G9&gt;550000),1,0)</f>
        <v>0</v>
      </c>
    </row>
    <row r="46" spans="1:13" x14ac:dyDescent="0.15">
      <c r="A46" s="53" t="s">
        <v>12</v>
      </c>
      <c r="B46" s="81">
        <f>概算シート!W10</f>
        <v>0</v>
      </c>
      <c r="C46" s="1">
        <f t="shared" si="2"/>
        <v>0</v>
      </c>
      <c r="D46" s="1">
        <f>IF(B46&gt;$H$4,'3以後給与・年金所得換算(基礎)'!BR9,IF('3以後給与・年金所得換算(基礎)'!BR9&gt;150000,'3以後給与・年金所得換算(基礎)'!BR9-150000,0))</f>
        <v>0</v>
      </c>
      <c r="E46" s="1">
        <f>IF(C46=0,'3以後給与・年金所得換算(基礎)'!BQ9,'3以後給与・年金所得換算 (軽減)'!BQ9)</f>
        <v>0</v>
      </c>
      <c r="F46" s="1">
        <f>IF(C46=0,概算シート!L10,D46+E46+概算シート!K10)</f>
        <v>0</v>
      </c>
      <c r="G46" s="1">
        <f t="shared" si="3"/>
        <v>0</v>
      </c>
      <c r="H46" s="1">
        <f>IF(OR(D46&gt;0,E46&gt;0,概算シート!G10&gt;550000),1,0)</f>
        <v>0</v>
      </c>
    </row>
    <row r="47" spans="1:13" x14ac:dyDescent="0.15">
      <c r="A47" s="53" t="s">
        <v>13</v>
      </c>
      <c r="B47" s="81">
        <f>概算シート!W11</f>
        <v>0</v>
      </c>
      <c r="C47" s="1">
        <f t="shared" si="2"/>
        <v>0</v>
      </c>
      <c r="D47" s="1">
        <f>IF(B47&gt;$H$4,'3以後給与・年金所得換算(基礎)'!BR10,IF('3以後給与・年金所得換算(基礎)'!BR10&gt;150000,'3以後給与・年金所得換算(基礎)'!BR10-150000,0))</f>
        <v>0</v>
      </c>
      <c r="E47" s="1">
        <f>IF(C47=0,'3以後給与・年金所得換算(基礎)'!BQ10,'3以後給与・年金所得換算 (軽減)'!BQ10)</f>
        <v>0</v>
      </c>
      <c r="F47" s="1">
        <f>IF(C47=0,概算シート!L11,D47+E47+概算シート!K11)</f>
        <v>0</v>
      </c>
      <c r="G47" s="1">
        <f t="shared" si="3"/>
        <v>0</v>
      </c>
      <c r="H47" s="1">
        <f>IF(OR(D47&gt;0,E47&gt;0,概算シート!G11&gt;550000),1,0)</f>
        <v>0</v>
      </c>
    </row>
    <row r="48" spans="1:13" x14ac:dyDescent="0.15">
      <c r="A48" s="53" t="s">
        <v>14</v>
      </c>
      <c r="B48" s="81">
        <f>概算シート!W12</f>
        <v>0</v>
      </c>
      <c r="C48" s="1">
        <f t="shared" si="2"/>
        <v>0</v>
      </c>
      <c r="D48" s="1">
        <f>IF(B48&gt;$H$4,'3以後給与・年金所得換算(基礎)'!BR11,IF('3以後給与・年金所得換算(基礎)'!BR11&gt;150000,'3以後給与・年金所得換算(基礎)'!BR11-150000,0))</f>
        <v>0</v>
      </c>
      <c r="E48" s="1">
        <f>IF(C48=0,'3以後給与・年金所得換算(基礎)'!BQ11,'3以後給与・年金所得換算 (軽減)'!BQ11)</f>
        <v>0</v>
      </c>
      <c r="F48" s="1">
        <f>IF(C48=0,概算シート!L12,D48+E48+概算シート!K12)</f>
        <v>0</v>
      </c>
      <c r="G48" s="1">
        <f t="shared" si="3"/>
        <v>0</v>
      </c>
      <c r="H48" s="1">
        <f>IF(OR(D48&gt;0,E48&gt;0,概算シート!G12&gt;550000),1,0)</f>
        <v>0</v>
      </c>
    </row>
    <row r="49" spans="1:8" x14ac:dyDescent="0.15">
      <c r="A49" s="53" t="s">
        <v>15</v>
      </c>
      <c r="B49" s="81">
        <f>概算シート!W13</f>
        <v>0</v>
      </c>
      <c r="C49" s="1">
        <f t="shared" si="2"/>
        <v>0</v>
      </c>
      <c r="D49" s="1">
        <f>IF(B49&gt;$H$4,'3以後給与・年金所得換算(基礎)'!BR12,IF('3以後給与・年金所得換算(基礎)'!BR12&gt;150000,'3以後給与・年金所得換算(基礎)'!BR12-150000,0))</f>
        <v>0</v>
      </c>
      <c r="E49" s="1">
        <f>IF(C49=0,'3以後給与・年金所得換算(基礎)'!BQ12,'3以後給与・年金所得換算 (軽減)'!BQ12)</f>
        <v>0</v>
      </c>
      <c r="F49" s="1">
        <f>IF(C49=0,概算シート!L13,D49+E49+概算シート!K13)</f>
        <v>0</v>
      </c>
      <c r="G49" s="1">
        <f t="shared" si="3"/>
        <v>0</v>
      </c>
      <c r="H49" s="1">
        <f>IF(OR(D49&gt;0,E49&gt;0,概算シート!G13&gt;550000),1,0)</f>
        <v>0</v>
      </c>
    </row>
    <row r="50" spans="1:8" x14ac:dyDescent="0.15">
      <c r="A50" s="53" t="s">
        <v>16</v>
      </c>
      <c r="B50" s="81">
        <f>概算シート!W14</f>
        <v>0</v>
      </c>
      <c r="C50" s="1">
        <f t="shared" si="2"/>
        <v>0</v>
      </c>
      <c r="D50" s="1">
        <f>IF(B50&gt;$H$4,'3以後給与・年金所得換算(基礎)'!BR13,IF('3以後給与・年金所得換算(基礎)'!BR13&gt;150000,'3以後給与・年金所得換算(基礎)'!BR13-150000,0))</f>
        <v>0</v>
      </c>
      <c r="E50" s="1">
        <f>IF(C50=0,'3以後給与・年金所得換算(基礎)'!BQ13,'3以後給与・年金所得換算 (軽減)'!BQ13)</f>
        <v>0</v>
      </c>
      <c r="F50" s="1">
        <f>IF(C50=0,概算シート!L14,D50+E50+概算シート!K14)</f>
        <v>0</v>
      </c>
      <c r="G50" s="1">
        <f t="shared" si="3"/>
        <v>0</v>
      </c>
      <c r="H50" s="1">
        <f>IF(OR(D50&gt;0,E50&gt;0,概算シート!G14&gt;550000),1,0)</f>
        <v>0</v>
      </c>
    </row>
    <row r="51" spans="1:8" ht="14.25" thickBot="1" x14ac:dyDescent="0.2">
      <c r="A51" s="53" t="s">
        <v>17</v>
      </c>
      <c r="B51" s="81">
        <f>概算シート!W15</f>
        <v>0</v>
      </c>
      <c r="C51" s="1">
        <f t="shared" si="2"/>
        <v>0</v>
      </c>
      <c r="D51" s="1">
        <f>IF(B51&gt;$H$4,'3以後給与・年金所得換算(基礎)'!BR14,IF('3以後給与・年金所得換算(基礎)'!BR14&gt;150000,'3以後給与・年金所得換算(基礎)'!BR14-150000,0))</f>
        <v>0</v>
      </c>
      <c r="E51" s="1">
        <f>IF(C51=0,'3以後給与・年金所得換算(基礎)'!BQ14,'3以後給与・年金所得換算 (軽減)'!BQ14)</f>
        <v>0</v>
      </c>
      <c r="F51" s="1">
        <f>IF(C51=0,概算シート!L15,D51+E51+概算シート!K15)</f>
        <v>0</v>
      </c>
      <c r="G51" s="1">
        <f t="shared" si="3"/>
        <v>0</v>
      </c>
      <c r="H51" s="1">
        <f>IF(OR(D51&gt;0,E51&gt;0,概算シート!G15&gt;550000),1,0)</f>
        <v>0</v>
      </c>
    </row>
    <row r="52" spans="1:8" ht="14.25" thickBot="1" x14ac:dyDescent="0.2">
      <c r="G52" s="3">
        <f>SUM(G42:G51)</f>
        <v>0</v>
      </c>
    </row>
    <row r="54" spans="1:8" x14ac:dyDescent="0.15">
      <c r="A54" s="251" t="s">
        <v>63</v>
      </c>
      <c r="B54" s="252"/>
      <c r="C54" s="252"/>
      <c r="D54" s="253"/>
      <c r="E54" s="1">
        <f>SUM(H42:H51)</f>
        <v>0</v>
      </c>
    </row>
    <row r="55" spans="1:8" x14ac:dyDescent="0.15">
      <c r="A55" s="254" t="s">
        <v>65</v>
      </c>
      <c r="B55" s="254"/>
      <c r="C55" s="254"/>
      <c r="D55" s="254"/>
      <c r="E55" s="1">
        <f ca="1">COUNTIF(概算シート!N6:N15,"対象")</f>
        <v>0</v>
      </c>
    </row>
    <row r="56" spans="1:8" x14ac:dyDescent="0.15">
      <c r="G56" s="163" t="s">
        <v>139</v>
      </c>
      <c r="H56" s="163">
        <f ca="1">IF(D61&gt;0,IF(O21&gt;0,4,2),IF(O21&gt;0,3,1))</f>
        <v>1</v>
      </c>
    </row>
    <row r="57" spans="1:8" x14ac:dyDescent="0.15">
      <c r="A57" s="65" t="s">
        <v>67</v>
      </c>
      <c r="B57" s="65" t="s">
        <v>68</v>
      </c>
      <c r="C57" s="65" t="s">
        <v>66</v>
      </c>
      <c r="D57" s="65" t="s">
        <v>69</v>
      </c>
      <c r="G57" s="1">
        <v>1</v>
      </c>
      <c r="H57" s="1" t="str">
        <f>""</f>
        <v/>
      </c>
    </row>
    <row r="58" spans="1:8" x14ac:dyDescent="0.15">
      <c r="A58" s="55">
        <v>7</v>
      </c>
      <c r="B58" s="1">
        <v>0</v>
      </c>
      <c r="C58" s="1">
        <f ca="1">H2+IF(E$54&gt;1,((E$54-1)*100000),0)+B58*E$55</f>
        <v>430000</v>
      </c>
      <c r="D58" s="1">
        <f ca="1">IF(C21=0,0,IF($G$52&lt;=C58,1,0))</f>
        <v>0</v>
      </c>
      <c r="G58" s="1">
        <v>2</v>
      </c>
      <c r="H58" s="1" t="str">
        <f ca="1">"※"&amp;D61*10&amp;"割軽減適用後の税額です。"</f>
        <v>※0割軽減適用後の税額です。</v>
      </c>
    </row>
    <row r="59" spans="1:8" x14ac:dyDescent="0.15">
      <c r="A59" s="55">
        <v>5</v>
      </c>
      <c r="B59" s="1">
        <f>K3</f>
        <v>295000</v>
      </c>
      <c r="C59" s="1">
        <f ca="1">H2+IF(E$54&gt;1,((E$54-1)*100000),0)+B59*E$55</f>
        <v>430000</v>
      </c>
      <c r="D59" s="1">
        <f ca="1">IF(C21=0,0,IF(AND(D58=0,$G$52&lt;=C59),1,0))</f>
        <v>0</v>
      </c>
      <c r="G59" s="1">
        <v>3</v>
      </c>
      <c r="H59" s="1" t="s">
        <v>140</v>
      </c>
    </row>
    <row r="60" spans="1:8" ht="14.25" thickBot="1" x14ac:dyDescent="0.2">
      <c r="A60" s="55">
        <v>2</v>
      </c>
      <c r="B60" s="1">
        <f>K4</f>
        <v>545000</v>
      </c>
      <c r="C60" s="1">
        <f ca="1">H2+IF(E$54&gt;1,((E$54-1)*100000),0)+B60*E$55</f>
        <v>430000</v>
      </c>
      <c r="D60" s="54">
        <f ca="1">IF(C21=0,0,IF(AND(D58+D59=0,$G$52&lt;=C60),1,0))</f>
        <v>0</v>
      </c>
      <c r="G60" s="1">
        <v>4</v>
      </c>
      <c r="H60" s="1" t="str">
        <f ca="1">"※"&amp;D61*10&amp;"割軽減＆未就学児均等割軽減適用後の税額です。"</f>
        <v>※0割軽減＆未就学児均等割軽減適用後の税額です。</v>
      </c>
    </row>
    <row r="61" spans="1:8" ht="14.25" thickBot="1" x14ac:dyDescent="0.2">
      <c r="D61" s="3">
        <f ca="1">(A58*D58+A59*D59+A60*D60)/10</f>
        <v>0</v>
      </c>
    </row>
    <row r="63" spans="1:8" x14ac:dyDescent="0.15">
      <c r="G63" s="162" t="s">
        <v>144</v>
      </c>
      <c r="H63" s="163">
        <f>IF(SUM(概算シート!D6:F15)=0,3,IF(B11=0,2,1))</f>
        <v>3</v>
      </c>
    </row>
    <row r="64" spans="1:8" x14ac:dyDescent="0.15">
      <c r="G64" s="1">
        <v>1</v>
      </c>
      <c r="H64" s="10">
        <f ca="1">H20+L20+M34</f>
        <v>0</v>
      </c>
    </row>
    <row r="65" spans="1:9" x14ac:dyDescent="0.15">
      <c r="G65" s="1">
        <v>2</v>
      </c>
      <c r="H65" s="1" t="s">
        <v>145</v>
      </c>
    </row>
    <row r="66" spans="1:9" x14ac:dyDescent="0.15">
      <c r="G66" s="1">
        <v>3</v>
      </c>
      <c r="H66" s="1" t="str">
        <f>""</f>
        <v/>
      </c>
    </row>
    <row r="68" spans="1:9" ht="14.25" thickBot="1" x14ac:dyDescent="0.2">
      <c r="A68" s="56" t="s">
        <v>151</v>
      </c>
    </row>
    <row r="69" spans="1:9" ht="33.75" x14ac:dyDescent="0.15">
      <c r="A69" s="65"/>
      <c r="B69" s="173" t="s">
        <v>150</v>
      </c>
      <c r="C69" s="174" t="s">
        <v>152</v>
      </c>
      <c r="D69" s="174" t="s">
        <v>153</v>
      </c>
      <c r="E69" s="174" t="s">
        <v>154</v>
      </c>
      <c r="F69" s="174" t="s">
        <v>155</v>
      </c>
      <c r="G69" s="174" t="s">
        <v>157</v>
      </c>
      <c r="H69" s="175" t="s">
        <v>158</v>
      </c>
      <c r="I69" s="176" t="s">
        <v>160</v>
      </c>
    </row>
    <row r="70" spans="1:9" x14ac:dyDescent="0.15">
      <c r="A70" s="170" t="s">
        <v>46</v>
      </c>
      <c r="B70" s="1">
        <f>IF(概算シート!M6="",0,1)</f>
        <v>1</v>
      </c>
      <c r="C70" s="1">
        <f>IF(概算シート!C6="",0,1)</f>
        <v>0</v>
      </c>
      <c r="D70" s="1">
        <f>IF(概算シート!D6=0,0,1)</f>
        <v>0</v>
      </c>
      <c r="E70" s="1">
        <f>IF(概算シート!E6=0,0,1)</f>
        <v>0</v>
      </c>
      <c r="F70" s="1">
        <f>IF(概算シート!F6=0,0,1)</f>
        <v>0</v>
      </c>
      <c r="G70" s="1">
        <f ca="1">IF(概算シート!W6&gt;TODAY()+365,0,1)</f>
        <v>1</v>
      </c>
      <c r="H70" s="70">
        <f>IF(AND(概算シート!M6="加入する",概算シート!W6&lt;=H$81),0,1)</f>
        <v>0</v>
      </c>
      <c r="I70" s="171">
        <f ca="1">B70*C70*D70*E70*F70*G70*H70</f>
        <v>0</v>
      </c>
    </row>
    <row r="71" spans="1:9" x14ac:dyDescent="0.15">
      <c r="A71" s="170" t="s">
        <v>9</v>
      </c>
      <c r="B71" s="165" t="s">
        <v>156</v>
      </c>
      <c r="C71" s="1">
        <f>IF(概算シート!C7="",0,1)</f>
        <v>0</v>
      </c>
      <c r="D71" s="1">
        <f>IF(概算シート!D7=0,0,1)</f>
        <v>0</v>
      </c>
      <c r="E71" s="1">
        <f>IF(概算シート!E7=0,0,1)</f>
        <v>0</v>
      </c>
      <c r="F71" s="1">
        <f>IF(概算シート!F7=0,0,1)</f>
        <v>0</v>
      </c>
      <c r="G71" s="1">
        <f ca="1">IF(概算シート!W7&gt;TODAY()+365,0,1)</f>
        <v>1</v>
      </c>
      <c r="H71" s="70">
        <f>IF(AND(概算シート!M7="加入する",概算シート!W7&lt;=H$81),0,1)</f>
        <v>1</v>
      </c>
      <c r="I71" s="171">
        <f ca="1">C71*D71*E71*F71*G71*H71</f>
        <v>0</v>
      </c>
    </row>
    <row r="72" spans="1:9" x14ac:dyDescent="0.15">
      <c r="A72" s="170" t="s">
        <v>10</v>
      </c>
      <c r="B72" s="165" t="s">
        <v>156</v>
      </c>
      <c r="C72" s="1">
        <f>IF(概算シート!C8="",0,1)</f>
        <v>0</v>
      </c>
      <c r="D72" s="1">
        <f>IF(概算シート!D8=0,0,1)</f>
        <v>0</v>
      </c>
      <c r="E72" s="1">
        <f>IF(概算シート!E8=0,0,1)</f>
        <v>0</v>
      </c>
      <c r="F72" s="1">
        <f>IF(概算シート!F8=0,0,1)</f>
        <v>0</v>
      </c>
      <c r="G72" s="1">
        <f ca="1">IF(概算シート!W8&gt;TODAY()+365,0,1)</f>
        <v>1</v>
      </c>
      <c r="H72" s="70">
        <f>IF(AND(概算シート!M8="加入する",概算シート!W8&lt;=H$81),0,1)</f>
        <v>1</v>
      </c>
      <c r="I72" s="171">
        <f t="shared" ref="I72:I79" ca="1" si="4">C72*D72*E72*F72*G72*H72</f>
        <v>0</v>
      </c>
    </row>
    <row r="73" spans="1:9" x14ac:dyDescent="0.15">
      <c r="A73" s="170" t="s">
        <v>11</v>
      </c>
      <c r="B73" s="165" t="s">
        <v>156</v>
      </c>
      <c r="C73" s="1">
        <f>IF(概算シート!C9="",0,1)</f>
        <v>0</v>
      </c>
      <c r="D73" s="1">
        <f>IF(概算シート!D9=0,0,1)</f>
        <v>0</v>
      </c>
      <c r="E73" s="1">
        <f>IF(概算シート!E9=0,0,1)</f>
        <v>0</v>
      </c>
      <c r="F73" s="1">
        <f>IF(概算シート!F9=0,0,1)</f>
        <v>0</v>
      </c>
      <c r="G73" s="1">
        <f ca="1">IF(概算シート!W9&gt;TODAY()+365,0,1)</f>
        <v>1</v>
      </c>
      <c r="H73" s="70">
        <f>IF(AND(概算シート!M9="加入する",概算シート!W9&lt;=H$81),0,1)</f>
        <v>1</v>
      </c>
      <c r="I73" s="171">
        <f t="shared" ca="1" si="4"/>
        <v>0</v>
      </c>
    </row>
    <row r="74" spans="1:9" x14ac:dyDescent="0.15">
      <c r="A74" s="170" t="s">
        <v>12</v>
      </c>
      <c r="B74" s="165" t="s">
        <v>156</v>
      </c>
      <c r="C74" s="1">
        <f>IF(概算シート!C10="",0,1)</f>
        <v>0</v>
      </c>
      <c r="D74" s="1">
        <f>IF(概算シート!D10=0,0,1)</f>
        <v>0</v>
      </c>
      <c r="E74" s="1">
        <f>IF(概算シート!E10=0,0,1)</f>
        <v>0</v>
      </c>
      <c r="F74" s="1">
        <f>IF(概算シート!F10=0,0,1)</f>
        <v>0</v>
      </c>
      <c r="G74" s="1">
        <f ca="1">IF(概算シート!W10&gt;TODAY()+365,0,1)</f>
        <v>1</v>
      </c>
      <c r="H74" s="70">
        <f>IF(AND(概算シート!M10="加入する",概算シート!W10&lt;=H$81),0,1)</f>
        <v>1</v>
      </c>
      <c r="I74" s="171">
        <f t="shared" ca="1" si="4"/>
        <v>0</v>
      </c>
    </row>
    <row r="75" spans="1:9" x14ac:dyDescent="0.15">
      <c r="A75" s="170" t="s">
        <v>13</v>
      </c>
      <c r="B75" s="165" t="s">
        <v>156</v>
      </c>
      <c r="C75" s="1">
        <f>IF(概算シート!C11="",0,1)</f>
        <v>0</v>
      </c>
      <c r="D75" s="1">
        <f>IF(概算シート!D11=0,0,1)</f>
        <v>0</v>
      </c>
      <c r="E75" s="1">
        <f>IF(概算シート!E11=0,0,1)</f>
        <v>0</v>
      </c>
      <c r="F75" s="1">
        <f>IF(概算シート!F11=0,0,1)</f>
        <v>0</v>
      </c>
      <c r="G75" s="1">
        <f ca="1">IF(概算シート!W11&gt;TODAY()+365,0,1)</f>
        <v>1</v>
      </c>
      <c r="H75" s="70">
        <f>IF(AND(概算シート!M11="加入する",概算シート!W11&lt;=H$81),0,1)</f>
        <v>1</v>
      </c>
      <c r="I75" s="171">
        <f t="shared" ca="1" si="4"/>
        <v>0</v>
      </c>
    </row>
    <row r="76" spans="1:9" x14ac:dyDescent="0.15">
      <c r="A76" s="170" t="s">
        <v>14</v>
      </c>
      <c r="B76" s="165" t="s">
        <v>156</v>
      </c>
      <c r="C76" s="1">
        <f>IF(概算シート!C12="",0,1)</f>
        <v>0</v>
      </c>
      <c r="D76" s="1">
        <f>IF(概算シート!D12=0,0,1)</f>
        <v>0</v>
      </c>
      <c r="E76" s="1">
        <f>IF(概算シート!E12=0,0,1)</f>
        <v>0</v>
      </c>
      <c r="F76" s="1">
        <f>IF(概算シート!F12=0,0,1)</f>
        <v>0</v>
      </c>
      <c r="G76" s="1">
        <f ca="1">IF(概算シート!W12&gt;TODAY()+365,0,1)</f>
        <v>1</v>
      </c>
      <c r="H76" s="70">
        <f>IF(AND(概算シート!M12="加入する",概算シート!W12&lt;=H$81),0,1)</f>
        <v>1</v>
      </c>
      <c r="I76" s="171">
        <f t="shared" ca="1" si="4"/>
        <v>0</v>
      </c>
    </row>
    <row r="77" spans="1:9" x14ac:dyDescent="0.15">
      <c r="A77" s="170" t="s">
        <v>15</v>
      </c>
      <c r="B77" s="165" t="s">
        <v>156</v>
      </c>
      <c r="C77" s="1">
        <f>IF(概算シート!C13="",0,1)</f>
        <v>0</v>
      </c>
      <c r="D77" s="1">
        <f>IF(概算シート!D13=0,0,1)</f>
        <v>0</v>
      </c>
      <c r="E77" s="1">
        <f>IF(概算シート!E13=0,0,1)</f>
        <v>0</v>
      </c>
      <c r="F77" s="1">
        <f>IF(概算シート!F13=0,0,1)</f>
        <v>0</v>
      </c>
      <c r="G77" s="1">
        <f ca="1">IF(概算シート!W13&gt;TODAY()+365,0,1)</f>
        <v>1</v>
      </c>
      <c r="H77" s="70">
        <f>IF(AND(概算シート!M13="加入する",概算シート!W13&lt;=H$81),0,1)</f>
        <v>1</v>
      </c>
      <c r="I77" s="171">
        <f t="shared" ca="1" si="4"/>
        <v>0</v>
      </c>
    </row>
    <row r="78" spans="1:9" x14ac:dyDescent="0.15">
      <c r="A78" s="170" t="s">
        <v>16</v>
      </c>
      <c r="B78" s="165" t="s">
        <v>156</v>
      </c>
      <c r="C78" s="1">
        <f>IF(概算シート!C14="",0,1)</f>
        <v>0</v>
      </c>
      <c r="D78" s="1">
        <f>IF(概算シート!D14=0,0,1)</f>
        <v>0</v>
      </c>
      <c r="E78" s="1">
        <f>IF(概算シート!E14=0,0,1)</f>
        <v>0</v>
      </c>
      <c r="F78" s="1">
        <f>IF(概算シート!F14=0,0,1)</f>
        <v>0</v>
      </c>
      <c r="G78" s="1">
        <f ca="1">IF(概算シート!W14&gt;TODAY()+365,0,1)</f>
        <v>1</v>
      </c>
      <c r="H78" s="70">
        <f>IF(AND(概算シート!M14="加入する",概算シート!W14&lt;=H$81),0,1)</f>
        <v>1</v>
      </c>
      <c r="I78" s="171">
        <f t="shared" ca="1" si="4"/>
        <v>0</v>
      </c>
    </row>
    <row r="79" spans="1:9" ht="14.25" thickBot="1" x14ac:dyDescent="0.2">
      <c r="A79" s="170" t="s">
        <v>17</v>
      </c>
      <c r="B79" s="165" t="s">
        <v>156</v>
      </c>
      <c r="C79" s="1">
        <f>IF(概算シート!C15="",0,1)</f>
        <v>0</v>
      </c>
      <c r="D79" s="1">
        <f>IF(概算シート!D15=0,0,1)</f>
        <v>0</v>
      </c>
      <c r="E79" s="1">
        <f>IF(概算シート!E15=0,0,1)</f>
        <v>0</v>
      </c>
      <c r="F79" s="1">
        <f>IF(概算シート!F15=0,0,1)</f>
        <v>0</v>
      </c>
      <c r="G79" s="1">
        <f ca="1">IF(概算シート!W15&gt;TODAY()+365,0,1)</f>
        <v>1</v>
      </c>
      <c r="H79" s="70">
        <f>IF(AND(概算シート!M15="加入する",概算シート!W15&lt;=H$81),0,1)</f>
        <v>1</v>
      </c>
      <c r="I79" s="172">
        <f t="shared" ca="1" si="4"/>
        <v>0</v>
      </c>
    </row>
    <row r="80" spans="1:9" x14ac:dyDescent="0.15">
      <c r="H80" s="169" t="s">
        <v>159</v>
      </c>
    </row>
    <row r="81" spans="8:8" x14ac:dyDescent="0.15">
      <c r="H81" s="136">
        <f>DATE(B1-75,4,1)</f>
        <v>17989</v>
      </c>
    </row>
  </sheetData>
  <sheetProtection selectLockedCells="1"/>
  <mergeCells count="14">
    <mergeCell ref="J10:J19"/>
    <mergeCell ref="F20:G20"/>
    <mergeCell ref="J20:K20"/>
    <mergeCell ref="F2:G2"/>
    <mergeCell ref="F3:G3"/>
    <mergeCell ref="F4:G4"/>
    <mergeCell ref="F10:F19"/>
    <mergeCell ref="J2:K2"/>
    <mergeCell ref="K25:K33"/>
    <mergeCell ref="K34:L34"/>
    <mergeCell ref="A54:D54"/>
    <mergeCell ref="A55:D55"/>
    <mergeCell ref="G37:H37"/>
    <mergeCell ref="F41:G4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K3" sqref="K3"/>
    </sheetView>
  </sheetViews>
  <sheetFormatPr defaultColWidth="8.75" defaultRowHeight="19.5" x14ac:dyDescent="0.15"/>
  <cols>
    <col min="1" max="1" width="8.75" style="140"/>
    <col min="2" max="2" width="2" style="140" customWidth="1"/>
    <col min="3" max="3" width="14.75" style="141" customWidth="1"/>
    <col min="4" max="4" width="12.75" style="141" customWidth="1"/>
    <col min="5" max="5" width="1.75" style="141" customWidth="1"/>
    <col min="6" max="10" width="13.75" style="141" customWidth="1"/>
    <col min="11" max="11" width="26.125" style="141" customWidth="1"/>
    <col min="12" max="12" width="2" style="140" customWidth="1"/>
    <col min="13" max="16384" width="8.75" style="140"/>
  </cols>
  <sheetData>
    <row r="1" spans="2:12" x14ac:dyDescent="0.15">
      <c r="D1" s="142"/>
      <c r="E1" s="142"/>
      <c r="F1" s="142"/>
      <c r="G1" s="142"/>
      <c r="H1" s="142"/>
      <c r="I1" s="142"/>
      <c r="J1" s="142"/>
      <c r="K1" s="142"/>
    </row>
    <row r="2" spans="2:12" ht="25.5" x14ac:dyDescent="0.15">
      <c r="B2" s="143"/>
      <c r="C2" s="144" t="s">
        <v>110</v>
      </c>
      <c r="D2" s="145"/>
      <c r="E2" s="145"/>
      <c r="F2" s="145"/>
      <c r="G2" s="145"/>
      <c r="H2" s="145"/>
      <c r="I2" s="145"/>
      <c r="J2" s="145"/>
      <c r="K2" s="145"/>
      <c r="L2" s="146"/>
    </row>
    <row r="3" spans="2:12" x14ac:dyDescent="0.15">
      <c r="B3" s="147"/>
      <c r="C3" s="273" t="s">
        <v>111</v>
      </c>
      <c r="D3" s="273"/>
      <c r="E3" s="273"/>
      <c r="F3" s="273"/>
      <c r="G3" s="273"/>
      <c r="H3" s="273"/>
      <c r="I3" s="273"/>
      <c r="J3" s="273"/>
      <c r="K3" s="273"/>
      <c r="L3" s="148"/>
    </row>
    <row r="4" spans="2:12" ht="18.75" x14ac:dyDescent="0.15">
      <c r="B4" s="147"/>
      <c r="C4" s="149"/>
      <c r="D4" s="274" t="s">
        <v>114</v>
      </c>
      <c r="E4" s="274"/>
      <c r="F4" s="274"/>
      <c r="G4" s="274"/>
      <c r="H4" s="274"/>
      <c r="I4" s="274"/>
      <c r="J4" s="274"/>
      <c r="K4" s="274"/>
      <c r="L4" s="148"/>
    </row>
    <row r="5" spans="2:12" ht="18.75" x14ac:dyDescent="0.15">
      <c r="B5" s="147"/>
      <c r="C5" s="274" t="s">
        <v>115</v>
      </c>
      <c r="D5" s="275" t="s">
        <v>118</v>
      </c>
      <c r="E5" s="275"/>
      <c r="F5" s="275"/>
      <c r="G5" s="275"/>
      <c r="H5" s="275"/>
      <c r="I5" s="275"/>
      <c r="J5" s="275"/>
      <c r="K5" s="275"/>
      <c r="L5" s="148"/>
    </row>
    <row r="6" spans="2:12" x14ac:dyDescent="0.15">
      <c r="B6" s="147"/>
      <c r="C6" s="274"/>
      <c r="D6" s="268" t="s">
        <v>119</v>
      </c>
      <c r="E6" s="268"/>
      <c r="F6" s="268"/>
      <c r="G6" s="268"/>
      <c r="H6" s="268"/>
      <c r="I6" s="268"/>
      <c r="J6" s="268"/>
      <c r="K6" s="268"/>
      <c r="L6" s="148"/>
    </row>
    <row r="7" spans="2:12" x14ac:dyDescent="0.15">
      <c r="B7" s="147"/>
      <c r="C7" s="274"/>
      <c r="D7" s="269" t="s">
        <v>120</v>
      </c>
      <c r="E7" s="269"/>
      <c r="F7" s="269"/>
      <c r="G7" s="269"/>
      <c r="H7" s="269"/>
      <c r="I7" s="269"/>
      <c r="J7" s="269"/>
      <c r="K7" s="269"/>
      <c r="L7" s="148"/>
    </row>
    <row r="8" spans="2:12" x14ac:dyDescent="0.15">
      <c r="B8" s="147"/>
      <c r="C8" s="266" t="s">
        <v>116</v>
      </c>
      <c r="D8" s="267" t="s">
        <v>121</v>
      </c>
      <c r="E8" s="267"/>
      <c r="F8" s="267"/>
      <c r="G8" s="267"/>
      <c r="H8" s="267"/>
      <c r="I8" s="267"/>
      <c r="J8" s="267"/>
      <c r="K8" s="267"/>
      <c r="L8" s="148"/>
    </row>
    <row r="9" spans="2:12" x14ac:dyDescent="0.15">
      <c r="B9" s="147"/>
      <c r="C9" s="266"/>
      <c r="D9" s="268" t="s">
        <v>119</v>
      </c>
      <c r="E9" s="268"/>
      <c r="F9" s="268"/>
      <c r="G9" s="268"/>
      <c r="H9" s="268"/>
      <c r="I9" s="268"/>
      <c r="J9" s="268"/>
      <c r="K9" s="268"/>
      <c r="L9" s="148"/>
    </row>
    <row r="10" spans="2:12" x14ac:dyDescent="0.15">
      <c r="B10" s="147"/>
      <c r="C10" s="266"/>
      <c r="D10" s="268" t="s">
        <v>120</v>
      </c>
      <c r="E10" s="268"/>
      <c r="F10" s="268"/>
      <c r="G10" s="268"/>
      <c r="H10" s="268"/>
      <c r="I10" s="268"/>
      <c r="J10" s="268"/>
      <c r="K10" s="268"/>
      <c r="L10" s="148"/>
    </row>
    <row r="11" spans="2:12" x14ac:dyDescent="0.15">
      <c r="B11" s="147"/>
      <c r="C11" s="266"/>
      <c r="D11" s="269" t="s">
        <v>227</v>
      </c>
      <c r="E11" s="269"/>
      <c r="F11" s="269"/>
      <c r="G11" s="269"/>
      <c r="H11" s="269"/>
      <c r="I11" s="269"/>
      <c r="J11" s="269"/>
      <c r="K11" s="269"/>
      <c r="L11" s="148"/>
    </row>
    <row r="12" spans="2:12" x14ac:dyDescent="0.15">
      <c r="B12" s="147"/>
      <c r="C12" s="266" t="s">
        <v>117</v>
      </c>
      <c r="D12" s="270" t="s">
        <v>121</v>
      </c>
      <c r="E12" s="270"/>
      <c r="F12" s="270"/>
      <c r="G12" s="270"/>
      <c r="H12" s="270"/>
      <c r="I12" s="270"/>
      <c r="J12" s="270"/>
      <c r="K12" s="270"/>
      <c r="L12" s="148"/>
    </row>
    <row r="13" spans="2:12" x14ac:dyDescent="0.15">
      <c r="B13" s="147"/>
      <c r="C13" s="266"/>
      <c r="D13" s="271" t="s">
        <v>119</v>
      </c>
      <c r="E13" s="271"/>
      <c r="F13" s="271"/>
      <c r="G13" s="271"/>
      <c r="H13" s="271"/>
      <c r="I13" s="271"/>
      <c r="J13" s="271"/>
      <c r="K13" s="271"/>
      <c r="L13" s="148"/>
    </row>
    <row r="14" spans="2:12" x14ac:dyDescent="0.15">
      <c r="B14" s="147"/>
      <c r="C14" s="266"/>
      <c r="D14" s="271" t="s">
        <v>120</v>
      </c>
      <c r="E14" s="271"/>
      <c r="F14" s="271"/>
      <c r="G14" s="271"/>
      <c r="H14" s="271"/>
      <c r="I14" s="271"/>
      <c r="J14" s="271"/>
      <c r="K14" s="271"/>
      <c r="L14" s="148"/>
    </row>
    <row r="15" spans="2:12" x14ac:dyDescent="0.15">
      <c r="B15" s="147"/>
      <c r="C15" s="266"/>
      <c r="D15" s="272" t="s">
        <v>228</v>
      </c>
      <c r="E15" s="272"/>
      <c r="F15" s="272"/>
      <c r="G15" s="272"/>
      <c r="H15" s="272"/>
      <c r="I15" s="272"/>
      <c r="J15" s="272"/>
      <c r="K15" s="272"/>
      <c r="L15" s="148"/>
    </row>
    <row r="16" spans="2:12" ht="72.599999999999994" customHeight="1" x14ac:dyDescent="0.15">
      <c r="B16" s="150"/>
      <c r="C16" s="264" t="s">
        <v>112</v>
      </c>
      <c r="D16" s="264"/>
      <c r="E16" s="264"/>
      <c r="F16" s="264"/>
      <c r="G16" s="264"/>
      <c r="H16" s="264"/>
      <c r="I16" s="264"/>
      <c r="J16" s="264"/>
      <c r="K16" s="264"/>
      <c r="L16" s="151"/>
    </row>
    <row r="17" spans="2:12" ht="21.6" customHeight="1" x14ac:dyDescent="0.15">
      <c r="B17" s="147"/>
      <c r="C17" s="152" t="s">
        <v>141</v>
      </c>
      <c r="D17" s="153"/>
      <c r="E17" s="153"/>
      <c r="F17" s="153"/>
      <c r="G17" s="153"/>
      <c r="H17" s="153"/>
      <c r="I17" s="153"/>
      <c r="J17" s="153"/>
      <c r="K17" s="153"/>
      <c r="L17" s="148"/>
    </row>
    <row r="18" spans="2:12" ht="42.2" customHeight="1" x14ac:dyDescent="0.15">
      <c r="B18" s="150"/>
      <c r="C18" s="265" t="s">
        <v>142</v>
      </c>
      <c r="D18" s="265"/>
      <c r="E18" s="265"/>
      <c r="F18" s="265"/>
      <c r="G18" s="265"/>
      <c r="H18" s="265"/>
      <c r="I18" s="265"/>
      <c r="J18" s="265"/>
      <c r="K18" s="265"/>
      <c r="L18" s="151"/>
    </row>
    <row r="19" spans="2:12" x14ac:dyDescent="0.15">
      <c r="C19" s="153"/>
      <c r="D19" s="153"/>
      <c r="E19" s="153"/>
      <c r="F19" s="153"/>
      <c r="G19" s="153"/>
      <c r="H19" s="153"/>
      <c r="I19" s="153"/>
      <c r="J19" s="153"/>
      <c r="K19" s="153"/>
    </row>
    <row r="20" spans="2:12" x14ac:dyDescent="0.15">
      <c r="C20" s="142"/>
      <c r="D20" s="142"/>
      <c r="E20" s="142"/>
      <c r="K20" s="142"/>
    </row>
  </sheetData>
  <mergeCells count="18">
    <mergeCell ref="C3:K3"/>
    <mergeCell ref="D4:K4"/>
    <mergeCell ref="C5:C7"/>
    <mergeCell ref="D5:K5"/>
    <mergeCell ref="D6:K6"/>
    <mergeCell ref="D7:K7"/>
    <mergeCell ref="C16:K16"/>
    <mergeCell ref="C18:K18"/>
    <mergeCell ref="C8:C11"/>
    <mergeCell ref="D8:K8"/>
    <mergeCell ref="D9:K9"/>
    <mergeCell ref="D10:K10"/>
    <mergeCell ref="D11:K11"/>
    <mergeCell ref="C12:C15"/>
    <mergeCell ref="D12:K12"/>
    <mergeCell ref="D13:K13"/>
    <mergeCell ref="D14:K14"/>
    <mergeCell ref="D15:K15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R14"/>
  <sheetViews>
    <sheetView workbookViewId="0">
      <selection activeCell="K3" sqref="K3"/>
    </sheetView>
  </sheetViews>
  <sheetFormatPr defaultColWidth="9" defaultRowHeight="13.5" x14ac:dyDescent="0.15"/>
  <cols>
    <col min="1" max="1" width="7.5" style="12" bestFit="1" customWidth="1"/>
    <col min="2" max="3" width="11.625" style="12" bestFit="1" customWidth="1"/>
    <col min="4" max="4" width="9" style="12" hidden="1" customWidth="1"/>
    <col min="5" max="12" width="10.5" style="12" hidden="1" customWidth="1"/>
    <col min="13" max="14" width="11.625" style="12" hidden="1" customWidth="1"/>
    <col min="15" max="15" width="11.875" style="12" hidden="1" customWidth="1"/>
    <col min="16" max="16" width="1.75" style="12" customWidth="1"/>
    <col min="17" max="17" width="7.5" style="12" bestFit="1" customWidth="1"/>
    <col min="18" max="18" width="12.875" style="12" customWidth="1"/>
    <col min="19" max="19" width="15.75" style="12" customWidth="1"/>
    <col min="20" max="20" width="5.875" style="12" hidden="1" customWidth="1"/>
    <col min="21" max="21" width="13.125" style="12" customWidth="1"/>
    <col min="22" max="25" width="10.5" style="12" hidden="1" customWidth="1"/>
    <col min="26" max="27" width="11.625" style="12" hidden="1" customWidth="1"/>
    <col min="28" max="31" width="10.5" style="12" hidden="1" customWidth="1"/>
    <col min="32" max="33" width="11.625" style="12" hidden="1" customWidth="1"/>
    <col min="34" max="37" width="10.5" style="12" hidden="1" customWidth="1"/>
    <col min="38" max="39" width="11.625" style="12" hidden="1" customWidth="1"/>
    <col min="40" max="40" width="10.5" style="12" hidden="1" customWidth="1"/>
    <col min="41" max="41" width="13.125" style="12" bestFit="1" customWidth="1"/>
    <col min="42" max="45" width="9.875" style="12" hidden="1" customWidth="1"/>
    <col min="46" max="47" width="11.625" style="12" hidden="1" customWidth="1"/>
    <col min="48" max="51" width="9.875" style="12" hidden="1" customWidth="1"/>
    <col min="52" max="53" width="11.625" style="12" hidden="1" customWidth="1"/>
    <col min="54" max="57" width="9.875" style="12" hidden="1" customWidth="1"/>
    <col min="58" max="59" width="11.625" style="12" hidden="1" customWidth="1"/>
    <col min="60" max="60" width="9.875" style="12" hidden="1" customWidth="1"/>
    <col min="61" max="61" width="2.75" style="12" customWidth="1"/>
    <col min="62" max="62" width="7.5" style="12" bestFit="1" customWidth="1"/>
    <col min="63" max="63" width="11.25" style="12" hidden="1" customWidth="1"/>
    <col min="64" max="64" width="11.25" style="12" customWidth="1"/>
    <col min="65" max="65" width="11.25" style="12" hidden="1" customWidth="1"/>
    <col min="66" max="66" width="11.25" style="12" customWidth="1"/>
    <col min="67" max="67" width="2.875" style="12" customWidth="1"/>
    <col min="68" max="68" width="5.5" style="12" bestFit="1" customWidth="1"/>
    <col min="69" max="70" width="12.625" style="12" customWidth="1"/>
    <col min="71" max="16384" width="9" style="12"/>
  </cols>
  <sheetData>
    <row r="1" spans="1:70" ht="14.25" thickBot="1" x14ac:dyDescent="0.2">
      <c r="R1" s="12">
        <v>18</v>
      </c>
      <c r="U1" s="12">
        <v>21</v>
      </c>
      <c r="AO1" s="12">
        <v>41</v>
      </c>
      <c r="AP1" s="12">
        <v>42</v>
      </c>
      <c r="AQ1" s="12">
        <v>43</v>
      </c>
      <c r="AR1" s="12">
        <v>44</v>
      </c>
      <c r="AS1" s="12">
        <v>45</v>
      </c>
      <c r="AT1" s="12">
        <v>46</v>
      </c>
      <c r="AU1" s="12">
        <v>47</v>
      </c>
      <c r="AV1" s="12">
        <v>48</v>
      </c>
      <c r="AW1" s="12">
        <v>49</v>
      </c>
      <c r="AX1" s="12">
        <v>50</v>
      </c>
      <c r="AY1" s="12">
        <v>51</v>
      </c>
      <c r="AZ1" s="12">
        <v>52</v>
      </c>
      <c r="BA1" s="12">
        <v>53</v>
      </c>
      <c r="BB1" s="12">
        <v>54</v>
      </c>
      <c r="BC1" s="12">
        <v>55</v>
      </c>
      <c r="BD1" s="12">
        <v>56</v>
      </c>
      <c r="BE1" s="12">
        <v>57</v>
      </c>
      <c r="BF1" s="12">
        <v>58</v>
      </c>
      <c r="BG1" s="12">
        <v>59</v>
      </c>
      <c r="BH1" s="12">
        <v>60</v>
      </c>
      <c r="BI1" s="12">
        <v>61</v>
      </c>
      <c r="BJ1" s="12">
        <v>62</v>
      </c>
      <c r="BK1" s="12">
        <v>63</v>
      </c>
    </row>
    <row r="2" spans="1:70" ht="14.25" thickBot="1" x14ac:dyDescent="0.2">
      <c r="A2" s="13"/>
      <c r="B2" s="295" t="s">
        <v>32</v>
      </c>
      <c r="C2" s="296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38"/>
      <c r="R2" s="295" t="s">
        <v>33</v>
      </c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6"/>
      <c r="BJ2" s="299" t="s">
        <v>34</v>
      </c>
      <c r="BK2" s="299"/>
      <c r="BL2" s="299"/>
      <c r="BM2" s="299"/>
      <c r="BN2" s="299"/>
      <c r="BP2" s="276" t="s">
        <v>50</v>
      </c>
      <c r="BQ2" s="279" t="s">
        <v>51</v>
      </c>
      <c r="BR2" s="282" t="s">
        <v>52</v>
      </c>
    </row>
    <row r="3" spans="1:70" x14ac:dyDescent="0.15">
      <c r="A3" s="285" t="s">
        <v>35</v>
      </c>
      <c r="B3" s="287" t="s">
        <v>36</v>
      </c>
      <c r="C3" s="289" t="s">
        <v>37</v>
      </c>
      <c r="D3" s="34">
        <v>551000</v>
      </c>
      <c r="E3" s="15">
        <v>1619000</v>
      </c>
      <c r="F3" s="15">
        <v>1620000</v>
      </c>
      <c r="G3" s="15">
        <v>1622000</v>
      </c>
      <c r="H3" s="15">
        <v>1624000</v>
      </c>
      <c r="I3" s="15">
        <v>1628000</v>
      </c>
      <c r="J3" s="15">
        <v>1800000</v>
      </c>
      <c r="K3" s="15">
        <v>3600000</v>
      </c>
      <c r="L3" s="15">
        <v>6600000</v>
      </c>
      <c r="M3" s="15">
        <v>8500000</v>
      </c>
      <c r="N3" s="15">
        <v>8500000</v>
      </c>
      <c r="O3" s="291" t="s">
        <v>38</v>
      </c>
      <c r="P3" s="14"/>
      <c r="Q3" s="285" t="s">
        <v>35</v>
      </c>
      <c r="R3" s="288" t="s">
        <v>36</v>
      </c>
      <c r="S3" s="298" t="s">
        <v>39</v>
      </c>
      <c r="T3" s="155"/>
      <c r="U3" s="40" t="s">
        <v>40</v>
      </c>
      <c r="V3" s="41">
        <v>600000</v>
      </c>
      <c r="W3" s="42">
        <v>1300000</v>
      </c>
      <c r="X3" s="42">
        <v>4100000</v>
      </c>
      <c r="Y3" s="42">
        <v>7700000</v>
      </c>
      <c r="Z3" s="42">
        <v>10000000</v>
      </c>
      <c r="AA3" s="43">
        <v>10000000</v>
      </c>
      <c r="AB3" s="41">
        <v>500000</v>
      </c>
      <c r="AC3" s="42">
        <v>1300000</v>
      </c>
      <c r="AD3" s="42">
        <v>4100000</v>
      </c>
      <c r="AE3" s="42">
        <v>7700000</v>
      </c>
      <c r="AF3" s="42">
        <v>10000000</v>
      </c>
      <c r="AG3" s="43">
        <v>10000000</v>
      </c>
      <c r="AH3" s="41">
        <v>400000</v>
      </c>
      <c r="AI3" s="42">
        <v>1300000</v>
      </c>
      <c r="AJ3" s="42">
        <v>4100000</v>
      </c>
      <c r="AK3" s="42">
        <v>7700000</v>
      </c>
      <c r="AL3" s="42">
        <v>10000000</v>
      </c>
      <c r="AM3" s="43">
        <v>10000000</v>
      </c>
      <c r="AN3" s="293" t="s">
        <v>41</v>
      </c>
      <c r="AO3" s="46" t="s">
        <v>42</v>
      </c>
      <c r="AP3" s="16">
        <v>1100000</v>
      </c>
      <c r="AQ3" s="17">
        <v>3300000</v>
      </c>
      <c r="AR3" s="17">
        <v>4100000</v>
      </c>
      <c r="AS3" s="17">
        <v>7700000</v>
      </c>
      <c r="AT3" s="17">
        <v>10000000</v>
      </c>
      <c r="AU3" s="18">
        <v>10000000</v>
      </c>
      <c r="AV3" s="16">
        <v>1000000</v>
      </c>
      <c r="AW3" s="17">
        <v>3300000</v>
      </c>
      <c r="AX3" s="17">
        <v>4100000</v>
      </c>
      <c r="AY3" s="17">
        <v>7700000</v>
      </c>
      <c r="AZ3" s="17">
        <v>10000000</v>
      </c>
      <c r="BA3" s="18">
        <v>10000000</v>
      </c>
      <c r="BB3" s="16">
        <v>900000</v>
      </c>
      <c r="BC3" s="17">
        <v>3300000</v>
      </c>
      <c r="BD3" s="17">
        <v>4100000</v>
      </c>
      <c r="BE3" s="17">
        <v>7700000</v>
      </c>
      <c r="BF3" s="17">
        <v>10000000</v>
      </c>
      <c r="BG3" s="18">
        <v>10000000</v>
      </c>
      <c r="BH3" s="293" t="s">
        <v>38</v>
      </c>
      <c r="BJ3" s="285" t="s">
        <v>35</v>
      </c>
      <c r="BK3" s="47" t="s">
        <v>49</v>
      </c>
      <c r="BL3" s="47" t="s">
        <v>49</v>
      </c>
      <c r="BM3" s="48" t="s">
        <v>42</v>
      </c>
      <c r="BN3" s="48" t="s">
        <v>42</v>
      </c>
      <c r="BP3" s="277"/>
      <c r="BQ3" s="280"/>
      <c r="BR3" s="283"/>
    </row>
    <row r="4" spans="1:70" x14ac:dyDescent="0.15">
      <c r="A4" s="286"/>
      <c r="B4" s="288"/>
      <c r="C4" s="290"/>
      <c r="D4" s="35" t="s">
        <v>43</v>
      </c>
      <c r="E4" s="19" t="s">
        <v>43</v>
      </c>
      <c r="F4" s="19" t="s">
        <v>43</v>
      </c>
      <c r="G4" s="19" t="s">
        <v>43</v>
      </c>
      <c r="H4" s="19" t="s">
        <v>43</v>
      </c>
      <c r="I4" s="19" t="s">
        <v>43</v>
      </c>
      <c r="J4" s="19" t="s">
        <v>43</v>
      </c>
      <c r="K4" s="19" t="s">
        <v>43</v>
      </c>
      <c r="L4" s="19" t="s">
        <v>43</v>
      </c>
      <c r="M4" s="19" t="s">
        <v>43</v>
      </c>
      <c r="N4" s="19" t="s">
        <v>44</v>
      </c>
      <c r="O4" s="292"/>
      <c r="P4" s="14"/>
      <c r="Q4" s="286"/>
      <c r="R4" s="288"/>
      <c r="S4" s="298"/>
      <c r="T4" s="155"/>
      <c r="U4" s="40" t="s">
        <v>37</v>
      </c>
      <c r="V4" s="44" t="s">
        <v>43</v>
      </c>
      <c r="W4" s="39" t="s">
        <v>43</v>
      </c>
      <c r="X4" s="39" t="s">
        <v>43</v>
      </c>
      <c r="Y4" s="39" t="s">
        <v>43</v>
      </c>
      <c r="Z4" s="39" t="s">
        <v>43</v>
      </c>
      <c r="AA4" s="45" t="s">
        <v>44</v>
      </c>
      <c r="AB4" s="44" t="s">
        <v>43</v>
      </c>
      <c r="AC4" s="39" t="s">
        <v>43</v>
      </c>
      <c r="AD4" s="39" t="s">
        <v>43</v>
      </c>
      <c r="AE4" s="39" t="s">
        <v>43</v>
      </c>
      <c r="AF4" s="39" t="s">
        <v>43</v>
      </c>
      <c r="AG4" s="45" t="s">
        <v>44</v>
      </c>
      <c r="AH4" s="44" t="s">
        <v>43</v>
      </c>
      <c r="AI4" s="39" t="s">
        <v>43</v>
      </c>
      <c r="AJ4" s="39" t="s">
        <v>43</v>
      </c>
      <c r="AK4" s="39" t="s">
        <v>43</v>
      </c>
      <c r="AL4" s="39" t="s">
        <v>43</v>
      </c>
      <c r="AM4" s="45" t="s">
        <v>44</v>
      </c>
      <c r="AN4" s="294"/>
      <c r="AO4" s="46" t="s">
        <v>45</v>
      </c>
      <c r="AP4" s="20" t="s">
        <v>43</v>
      </c>
      <c r="AQ4" s="21" t="s">
        <v>43</v>
      </c>
      <c r="AR4" s="21" t="s">
        <v>43</v>
      </c>
      <c r="AS4" s="21" t="s">
        <v>43</v>
      </c>
      <c r="AT4" s="21" t="s">
        <v>43</v>
      </c>
      <c r="AU4" s="22" t="s">
        <v>44</v>
      </c>
      <c r="AV4" s="20" t="s">
        <v>43</v>
      </c>
      <c r="AW4" s="21" t="s">
        <v>43</v>
      </c>
      <c r="AX4" s="21" t="s">
        <v>43</v>
      </c>
      <c r="AY4" s="21" t="s">
        <v>43</v>
      </c>
      <c r="AZ4" s="21" t="s">
        <v>43</v>
      </c>
      <c r="BA4" s="22" t="s">
        <v>44</v>
      </c>
      <c r="BB4" s="20" t="s">
        <v>43</v>
      </c>
      <c r="BC4" s="21" t="s">
        <v>43</v>
      </c>
      <c r="BD4" s="21" t="s">
        <v>43</v>
      </c>
      <c r="BE4" s="21" t="s">
        <v>43</v>
      </c>
      <c r="BF4" s="21" t="s">
        <v>43</v>
      </c>
      <c r="BG4" s="22" t="s">
        <v>44</v>
      </c>
      <c r="BH4" s="294"/>
      <c r="BJ4" s="286"/>
      <c r="BK4" s="154"/>
      <c r="BL4" s="154" t="s">
        <v>47</v>
      </c>
      <c r="BM4" s="154"/>
      <c r="BN4" s="154" t="s">
        <v>48</v>
      </c>
      <c r="BP4" s="278"/>
      <c r="BQ4" s="281"/>
      <c r="BR4" s="284"/>
    </row>
    <row r="5" spans="1:70" x14ac:dyDescent="0.15">
      <c r="A5" s="31" t="s">
        <v>46</v>
      </c>
      <c r="B5" s="159">
        <f>概算シート!G6</f>
        <v>0</v>
      </c>
      <c r="C5" s="37">
        <f>IF($B5&gt;0,$O5,0)</f>
        <v>0</v>
      </c>
      <c r="D5" s="36">
        <f t="shared" ref="D5:D7" si="0">IF(B5&lt;D$3,0,0)</f>
        <v>0</v>
      </c>
      <c r="E5" s="23">
        <f>IF(B5&lt;E$3,IF(B5&lt;D$3,0,B5-550000),0)</f>
        <v>0</v>
      </c>
      <c r="F5" s="23">
        <f>IF(B5&lt;F$3,IF(B5&lt;E$3,0,1069000),0)</f>
        <v>0</v>
      </c>
      <c r="G5" s="23">
        <f>IF(B5&lt;G$3,IF(B5&lt;F$3,0,1070000),0)</f>
        <v>0</v>
      </c>
      <c r="H5" s="23">
        <f>IF(B5&lt;H$3,IF(B5&lt;G$3,0,1072000),0)</f>
        <v>0</v>
      </c>
      <c r="I5" s="23">
        <f>IF(B5&lt;I$3,IF(B5&lt;H$3,0,1074000),0)</f>
        <v>0</v>
      </c>
      <c r="J5" s="23">
        <f>IF(B5&lt;J$3,IF(B5&lt;I$3,0,(TRUNC(B5/4000)*2.4)*1000+100000),0)</f>
        <v>0</v>
      </c>
      <c r="K5" s="23">
        <f>IF(B5&lt;K$3,IF(B5&lt;J$3,0,(TRUNC(B5/4000)*2.8-180)*1000+100000),0)</f>
        <v>0</v>
      </c>
      <c r="L5" s="23">
        <f>IF(B5&lt;L$3,IF(B5&lt;K$3,0,(TRUNC(B5/4000)*3.2-540)*1000+100000),0)</f>
        <v>0</v>
      </c>
      <c r="M5" s="23">
        <f>IF(B5&lt;M$3,IF(B5&lt;L$3,0,TRUNC(B5-1760000-((B5-6600000)*0.1))),0)</f>
        <v>0</v>
      </c>
      <c r="N5" s="23">
        <f>IF(B5&lt;M$3,0,TRUNC(B5-1950000))</f>
        <v>0</v>
      </c>
      <c r="O5" s="23">
        <f t="shared" ref="O5:O14" si="1">SUM(D5:N5)</f>
        <v>0</v>
      </c>
      <c r="P5" s="14"/>
      <c r="Q5" s="31" t="s">
        <v>46</v>
      </c>
      <c r="R5" s="160">
        <f>概算シート!I6</f>
        <v>0</v>
      </c>
      <c r="S5" s="161">
        <f>C5+概算シート!K6</f>
        <v>0</v>
      </c>
      <c r="T5" s="160">
        <f>IF(S5&gt;20000000,3,IF(S5&gt;10000000,2,1))</f>
        <v>1</v>
      </c>
      <c r="U5" s="24">
        <f>IF(R5&gt;0,AN5,0)</f>
        <v>0</v>
      </c>
      <c r="V5" s="25">
        <v>0</v>
      </c>
      <c r="W5" s="26">
        <f>IF($T5=1,IF($R5&lt;W$3,IF($R5&lt;V$3,0,$R5-600000),0),0)</f>
        <v>0</v>
      </c>
      <c r="X5" s="26">
        <f>IF($T5=1,IF($R5&lt;X$3,IF($R5&lt;W$3,0,TRUNC($R5*0.75-275000)),0),0)</f>
        <v>0</v>
      </c>
      <c r="Y5" s="26">
        <f>IF($T5=1,IF($R5&lt;Y$3,IF($R5&lt;X$3,0,TRUNC($R5*0.85-685000)),0),0)</f>
        <v>0</v>
      </c>
      <c r="Z5" s="26">
        <f>IF($T5=1,IF($R5&lt;Z$3,IF($R5&lt;Y$3,0,TRUNC($R5*0.95-1455000)),0),0)</f>
        <v>0</v>
      </c>
      <c r="AA5" s="27">
        <f>IF($T5=1,IF($R5&gt;Z$3-1,$R5-1955000,0),0)</f>
        <v>0</v>
      </c>
      <c r="AB5" s="25">
        <v>0</v>
      </c>
      <c r="AC5" s="26">
        <f>IF($T5=2,IF($R5&lt;AC$3,IF($R5&lt;AB$3,0,$R5-500000),0),0)</f>
        <v>0</v>
      </c>
      <c r="AD5" s="26">
        <f>IF($T5=2,IF($R5&lt;AD$3,IF($R5&lt;AC$3,0,TRUNC($R5*0.75-175000)),0),0)</f>
        <v>0</v>
      </c>
      <c r="AE5" s="26">
        <f>IF($T5=2,IF($R5&lt;AE$3,IF($R5&lt;AD$3,0,TRUNC($R5*0.85-585000)),0),0)</f>
        <v>0</v>
      </c>
      <c r="AF5" s="26">
        <f>IF($T5=2,IF($R5&lt;AF$3,IF($R5&lt;AE$3,0,TRUNC($R5*0.95-1355000)),0),0)</f>
        <v>0</v>
      </c>
      <c r="AG5" s="27">
        <f>IF($T5=2,IF($R5&gt;AF$3-1,$R5-1855000,0),0)</f>
        <v>0</v>
      </c>
      <c r="AH5" s="25">
        <v>0</v>
      </c>
      <c r="AI5" s="26">
        <f>IF($T5=3,IF($R5&lt;AI$3,IF($R5&lt;AH$3,0,$R5-400000),0),0)</f>
        <v>0</v>
      </c>
      <c r="AJ5" s="26">
        <f>IF($T5=3,IF($R5&lt;AJ$3,IF($R5&lt;AI$3,0,TRUNC($R5*0.75-75000)),0),0)</f>
        <v>0</v>
      </c>
      <c r="AK5" s="26">
        <f>IF($T5=3,IF($R5&lt;AK$3,IF($R5&lt;AJ$3,0,TRUNC($R5*0.85-485000)),0),0)</f>
        <v>0</v>
      </c>
      <c r="AL5" s="26">
        <f>IF($T5=3,IF($R5&lt;AL$3,IF($R5&lt;AK$3,0,TRUNC($R5*0.95-1255000)),0),0)</f>
        <v>0</v>
      </c>
      <c r="AM5" s="27">
        <f>IF($T5=3,IF($R5&gt;AL$3-1,$R5-1755000,0),0)</f>
        <v>0</v>
      </c>
      <c r="AN5" s="28">
        <f>SUM(V5:AM5)</f>
        <v>0</v>
      </c>
      <c r="AO5" s="29">
        <f>IF(R5&gt;0,BH5,0)</f>
        <v>0</v>
      </c>
      <c r="AP5" s="30">
        <v>0</v>
      </c>
      <c r="AQ5" s="31">
        <f>IF($T5=1,IF($R5&lt;AQ$3,IF($R5&lt;AP$3,0,$R5-1100000),0),0)</f>
        <v>0</v>
      </c>
      <c r="AR5" s="31">
        <f>IF($T5=1,IF($R5&lt;AR$3,IF($R5&lt;AQ$3,0,TRUNC($R5*0.75-275000)),0),0)</f>
        <v>0</v>
      </c>
      <c r="AS5" s="31">
        <f>IF($T5=1,IF($R5&lt;AS$3,IF($R5&lt;AR$3,0,TRUNC($R5*0.85-685000)),0),0)</f>
        <v>0</v>
      </c>
      <c r="AT5" s="31">
        <f>IF($T5=1,IF($R5&lt;AT$3,IF($R5&lt;AS$3,0,TRUNC($R5*0.95-1455000)),0),0)</f>
        <v>0</v>
      </c>
      <c r="AU5" s="32">
        <f>IF($T5=1,IF($R5&gt;AU$3-1,$R5-1955000,0),0)</f>
        <v>0</v>
      </c>
      <c r="AV5" s="30">
        <v>0</v>
      </c>
      <c r="AW5" s="31">
        <f>IF($T5=2,IF($R5&lt;AW$3,IF($R5&lt;AV$3,0,$R5-1000000),0),0)</f>
        <v>0</v>
      </c>
      <c r="AX5" s="31">
        <f>IF($T5=2,IF($R5&lt;AX$3,IF($R5&lt;AW$3,0,TRUNC($R5*0.75-175000)),0),0)</f>
        <v>0</v>
      </c>
      <c r="AY5" s="31">
        <f>IF($T5=2,IF($R5&lt;AY$3,IF($R5&lt;AX$3,0,TRUNC($R5*0.85-585000)),0),0)</f>
        <v>0</v>
      </c>
      <c r="AZ5" s="31">
        <f>IF($T5=2,IF($R5&lt;AZ$3,IF($R5&lt;AY$3,0,TRUNC($R5*0.95-1355000)),0),0)</f>
        <v>0</v>
      </c>
      <c r="BA5" s="32">
        <f>IF($T5=2,IF($R5&gt;BA$3-1,$R5-1855000,0),0)</f>
        <v>0</v>
      </c>
      <c r="BB5" s="30">
        <v>0</v>
      </c>
      <c r="BC5" s="31">
        <f>IF($T5=3,IF($R5&lt;BC$3,IF($R5&lt;BB$3,0,$R5-900000),0),0)</f>
        <v>0</v>
      </c>
      <c r="BD5" s="31">
        <f>IF($T5=3,IF($R5&lt;BD$3,IF($R5&lt;BC$3,0,TRUNC($R5*0.75-75000)),0),0)</f>
        <v>0</v>
      </c>
      <c r="BE5" s="31">
        <f>IF($T5=3,IF($R5&lt;BE$3,IF($R5&lt;BD$3,0,TRUNC($R5*0.85-485000)),0),0)</f>
        <v>0</v>
      </c>
      <c r="BF5" s="31">
        <f>IF($T5=3,IF($R5&lt;BF$3,IF($R5&lt;BE$3,0,TRUNC($R5*0.95-1255000)),0),0)</f>
        <v>0</v>
      </c>
      <c r="BG5" s="32">
        <f>IF($T5=3,IF($R5&gt;BG$3-1,$R5-1755000,0),0)</f>
        <v>0</v>
      </c>
      <c r="BH5" s="33">
        <f>SUM(AP5:BG5)</f>
        <v>0</v>
      </c>
      <c r="BJ5" s="31" t="s">
        <v>46</v>
      </c>
      <c r="BK5" s="49">
        <f>IF(AND(C5&gt;0,U5&gt;0,C5+U5&gt;100000),IF(C5+U5&gt;200000,100000,C5+U5-100000),0)</f>
        <v>0</v>
      </c>
      <c r="BL5" s="49">
        <f>IF(C5&gt;BK5,BK5,C5)</f>
        <v>0</v>
      </c>
      <c r="BM5" s="49">
        <f>IF(AND(C5&gt;0,AO5&gt;0,C5+AO5&gt;100000),IF(C5+AO5&gt;200000,100000,C5+AO5-100000),0)</f>
        <v>0</v>
      </c>
      <c r="BN5" s="49">
        <f>IF(C5&gt;BM5,BM5,C5)</f>
        <v>0</v>
      </c>
      <c r="BP5" s="50">
        <f>税率!C42</f>
        <v>0</v>
      </c>
      <c r="BQ5" s="49">
        <f>IF(BP5=0,C5-BL5,C5-BN5)</f>
        <v>0</v>
      </c>
      <c r="BR5" s="51">
        <f>IF(BP5=0,U5,AO5)</f>
        <v>0</v>
      </c>
    </row>
    <row r="6" spans="1:70" x14ac:dyDescent="0.15">
      <c r="A6" s="31" t="s">
        <v>9</v>
      </c>
      <c r="B6" s="159">
        <f>概算シート!G7</f>
        <v>0</v>
      </c>
      <c r="C6" s="37">
        <f>IF($B6&gt;0,$O6,0)</f>
        <v>0</v>
      </c>
      <c r="D6" s="36">
        <f t="shared" si="0"/>
        <v>0</v>
      </c>
      <c r="E6" s="23">
        <f>IF(B6&lt;E$3,IF(B6&lt;D$3,0,B6-550000),0)</f>
        <v>0</v>
      </c>
      <c r="F6" s="23">
        <f>IF(B6&lt;F$3,IF(B6&lt;E$3,0,1069000),0)</f>
        <v>0</v>
      </c>
      <c r="G6" s="23">
        <f>IF(B6&lt;G$3,IF(B6&lt;F$3,0,1070000),0)</f>
        <v>0</v>
      </c>
      <c r="H6" s="23">
        <f>IF(B6&lt;H$3,IF(B6&lt;G$3,0,1072000),0)</f>
        <v>0</v>
      </c>
      <c r="I6" s="23">
        <f>IF(B6&lt;I$3,IF(B6&lt;H$3,0,1074000),0)</f>
        <v>0</v>
      </c>
      <c r="J6" s="23">
        <f>IF(B6&lt;J$3,IF(B6&lt;I$3,0,(TRUNC(B6/4000)*2.4)*1000+100000),0)</f>
        <v>0</v>
      </c>
      <c r="K6" s="23">
        <f>IF(B6&lt;K$3,IF(B6&lt;J$3,0,(TRUNC(B6/4000)*2.8-180)*1000+100000),0)</f>
        <v>0</v>
      </c>
      <c r="L6" s="23">
        <f>IF(B6&lt;L$3,IF(B6&lt;K$3,0,(TRUNC(B6/4000)*3.2-540)*1000+100000),0)</f>
        <v>0</v>
      </c>
      <c r="M6" s="23">
        <f t="shared" ref="M6:M8" si="2">IF(B6&lt;M$3,IF(B6&lt;L$3,0,TRUNC(B6-1760000-((B6-6600000)*0.1))),0)</f>
        <v>0</v>
      </c>
      <c r="N6" s="23">
        <f>IF(B6&lt;M$3,0,TRUNC(B6-1950000))</f>
        <v>0</v>
      </c>
      <c r="O6" s="23">
        <f t="shared" si="1"/>
        <v>0</v>
      </c>
      <c r="P6" s="14"/>
      <c r="Q6" s="31" t="s">
        <v>9</v>
      </c>
      <c r="R6" s="160">
        <f>概算シート!I7</f>
        <v>0</v>
      </c>
      <c r="S6" s="161">
        <f>C6+概算シート!K7</f>
        <v>0</v>
      </c>
      <c r="T6" s="160">
        <f t="shared" ref="T6:T14" si="3">IF(S6&gt;20000000,3,IF(S6&gt;10000000,2,1))</f>
        <v>1</v>
      </c>
      <c r="U6" s="24">
        <f>IF(R6&gt;0,AN6,0)</f>
        <v>0</v>
      </c>
      <c r="V6" s="25">
        <v>0</v>
      </c>
      <c r="W6" s="26">
        <f t="shared" ref="W6:W8" si="4">IF($T6=1,IF($R6&lt;W$3,IF($R6&lt;V$3,0,$R6-600000),0),0)</f>
        <v>0</v>
      </c>
      <c r="X6" s="26">
        <f t="shared" ref="X6:X8" si="5">IF($T6=1,IF($R6&lt;X$3,IF($R6&lt;W$3,0,TRUNC($R6*0.75-275000)),0),0)</f>
        <v>0</v>
      </c>
      <c r="Y6" s="26">
        <f t="shared" ref="Y6:Y8" si="6">IF($T6=1,IF($R6&lt;Y$3,IF($R6&lt;X$3,0,TRUNC($R6*0.85-685000)),0),0)</f>
        <v>0</v>
      </c>
      <c r="Z6" s="26">
        <f t="shared" ref="Z6:Z8" si="7">IF($T6=1,IF($R6&lt;Z$3,IF($R6&lt;Y$3,0,TRUNC($R6*0.95-1455000)),0),0)</f>
        <v>0</v>
      </c>
      <c r="AA6" s="27">
        <f t="shared" ref="AA6:AA8" si="8">IF($T6=1,IF($R6&gt;Z$3-1,$R6-1955000,0),0)</f>
        <v>0</v>
      </c>
      <c r="AB6" s="25">
        <v>0</v>
      </c>
      <c r="AC6" s="26">
        <f t="shared" ref="AC6:AC8" si="9">IF($T6=2,IF($R6&lt;AC$3,IF($R6&lt;AB$3,0,$R6-500000),0),0)</f>
        <v>0</v>
      </c>
      <c r="AD6" s="26">
        <f t="shared" ref="AD6:AD8" si="10">IF($T6=2,IF($R6&lt;AD$3,IF($R6&lt;AC$3,0,TRUNC($R6*0.75-175000)),0),0)</f>
        <v>0</v>
      </c>
      <c r="AE6" s="26">
        <f t="shared" ref="AE6:AE8" si="11">IF($T6=2,IF($R6&lt;AE$3,IF($R6&lt;AD$3,0,TRUNC($R6*0.85-585000)),0),0)</f>
        <v>0</v>
      </c>
      <c r="AF6" s="26">
        <f t="shared" ref="AF6:AF8" si="12">IF($T6=2,IF($R6&lt;AF$3,IF($R6&lt;AE$3,0,TRUNC($R6*0.95-1355000)),0),0)</f>
        <v>0</v>
      </c>
      <c r="AG6" s="27">
        <f t="shared" ref="AG6:AG8" si="13">IF($T6=2,IF($R6&gt;AF$3-1,$R6-1855000,0),0)</f>
        <v>0</v>
      </c>
      <c r="AH6" s="25">
        <v>0</v>
      </c>
      <c r="AI6" s="26">
        <f>IF($T6=3,IF($R6&lt;AI$3,IF($R6&lt;AH$3,0,$R6-400000),0),0)</f>
        <v>0</v>
      </c>
      <c r="AJ6" s="26">
        <f>IF($T6=3,IF($R6&lt;AJ$3,IF($R6&lt;AI$3,0,TRUNC($R6*0.75-75000)),0),0)</f>
        <v>0</v>
      </c>
      <c r="AK6" s="26">
        <f>IF($T6=3,IF($R6&lt;AK$3,IF($R6&lt;AJ$3,0,TRUNC($R6*0.85-485000)),0),0)</f>
        <v>0</v>
      </c>
      <c r="AL6" s="26">
        <f>IF($T6=3,IF($R6&lt;AL$3,IF($R6&lt;AK$3,0,TRUNC($R6*0.95-1255000)),0),0)</f>
        <v>0</v>
      </c>
      <c r="AM6" s="27">
        <f>IF($T6=3,IF($R6&gt;AL$3-1,$R6-1755000,0),0)</f>
        <v>0</v>
      </c>
      <c r="AN6" s="28">
        <f t="shared" ref="AN6:AN14" si="14">SUM(V6:AM6)</f>
        <v>0</v>
      </c>
      <c r="AO6" s="29">
        <f>IF(R6&gt;0,BH6,0)</f>
        <v>0</v>
      </c>
      <c r="AP6" s="30">
        <v>0</v>
      </c>
      <c r="AQ6" s="31">
        <f>IF($T6=1,IF($R6&lt;AQ$3,IF($R6&lt;AP$3,0,$R6-1100000),0),0)</f>
        <v>0</v>
      </c>
      <c r="AR6" s="31">
        <f>IF($T6=1,IF($R6&lt;AR$3,IF($R6&lt;AQ$3,0,TRUNC($R6*0.75-275000)),0),0)</f>
        <v>0</v>
      </c>
      <c r="AS6" s="31">
        <f>IF($T6=1,IF($R6&lt;AS$3,IF($R6&lt;AR$3,0,TRUNC($R6*0.85-685000)),0),0)</f>
        <v>0</v>
      </c>
      <c r="AT6" s="31">
        <f>IF($T6=1,IF($R6&lt;AT$3,IF($R6&lt;AS$3,0,TRUNC($R6*0.95-1455000)),0),0)</f>
        <v>0</v>
      </c>
      <c r="AU6" s="32">
        <f>IF($T6=1,IF($R6&gt;AU$3-1,$R6-1955000,0),0)</f>
        <v>0</v>
      </c>
      <c r="AV6" s="30">
        <v>0</v>
      </c>
      <c r="AW6" s="31">
        <f t="shared" ref="AW6:AW8" si="15">IF($T6=2,IF($R6&lt;AW$3,IF($R6&lt;AV$3,0,$R6-1000000),0),0)</f>
        <v>0</v>
      </c>
      <c r="AX6" s="31">
        <f t="shared" ref="AX6:AX8" si="16">IF($T6=2,IF($R6&lt;AX$3,IF($R6&lt;AW$3,0,TRUNC($R6*0.75-175000)),0),0)</f>
        <v>0</v>
      </c>
      <c r="AY6" s="31">
        <f t="shared" ref="AY6:AY8" si="17">IF($T6=2,IF($R6&lt;AY$3,IF($R6&lt;AX$3,0,TRUNC($R6*0.85-585000)),0),0)</f>
        <v>0</v>
      </c>
      <c r="AZ6" s="31">
        <f t="shared" ref="AZ6:AZ8" si="18">IF($T6=2,IF($R6&lt;AZ$3,IF($R6&lt;AY$3,0,TRUNC($R6*0.95-1355000)),0),0)</f>
        <v>0</v>
      </c>
      <c r="BA6" s="32">
        <f t="shared" ref="BA6:BA14" si="19">IF($T6=2,IF($R6&gt;BA$3-1,$R6-1855000,0),0)</f>
        <v>0</v>
      </c>
      <c r="BB6" s="30">
        <v>0</v>
      </c>
      <c r="BC6" s="31">
        <f>IF($T6=3,IF($R6&lt;BC$3,IF($R6&lt;BB$3,0,$R6-900000),0),0)</f>
        <v>0</v>
      </c>
      <c r="BD6" s="31">
        <f>IF($T6=3,IF($R6&lt;BD$3,IF($R6&lt;BC$3,0,TRUNC($R6*0.75-75000)),0),0)</f>
        <v>0</v>
      </c>
      <c r="BE6" s="31">
        <f>IF($T6=3,IF($R6&lt;BE$3,IF($R6&lt;BD$3,0,TRUNC($R6*0.85-485000)),0),0)</f>
        <v>0</v>
      </c>
      <c r="BF6" s="31">
        <f>IF($T6=3,IF($R6&lt;BF$3,IF($R6&lt;BE$3,0,TRUNC($R6*0.95-1255000)),0),0)</f>
        <v>0</v>
      </c>
      <c r="BG6" s="32">
        <f>IF($T6=3,IF($R6&gt;BG$3-1,$R6-1755000,0),0)</f>
        <v>0</v>
      </c>
      <c r="BH6" s="33">
        <f t="shared" ref="BH6:BH9" si="20">SUM(AP6:BG6)</f>
        <v>0</v>
      </c>
      <c r="BJ6" s="31" t="s">
        <v>9</v>
      </c>
      <c r="BK6" s="49">
        <f t="shared" ref="BK6:BK14" si="21">IF(AND(C6&gt;0,U6&gt;0,C6+U6&gt;100000),IF(C6+U6&gt;200000,100000,C6+U6-100000),0)</f>
        <v>0</v>
      </c>
      <c r="BL6" s="49">
        <f t="shared" ref="BL6:BL14" si="22">IF(C6&gt;BK6,BK6,C6)</f>
        <v>0</v>
      </c>
      <c r="BM6" s="49">
        <f t="shared" ref="BM6:BM14" si="23">IF(AND(C6&gt;0,AO6&gt;0,C6+AO6&gt;100000),IF(C6+AO6&gt;200000,100000,C6+AO6-100000),0)</f>
        <v>0</v>
      </c>
      <c r="BN6" s="49">
        <f t="shared" ref="BN6:BN14" si="24">IF(C6&gt;BM6,BM6,C6)</f>
        <v>0</v>
      </c>
      <c r="BP6" s="50">
        <f>税率!C43</f>
        <v>0</v>
      </c>
      <c r="BQ6" s="49">
        <f t="shared" ref="BQ6:BQ14" si="25">IF(BP6=0,C6-BL6,C6-BN6)</f>
        <v>0</v>
      </c>
      <c r="BR6" s="51">
        <f t="shared" ref="BR6:BR14" si="26">IF(BP6=0,U6,AO6)</f>
        <v>0</v>
      </c>
    </row>
    <row r="7" spans="1:70" x14ac:dyDescent="0.15">
      <c r="A7" s="31" t="s">
        <v>10</v>
      </c>
      <c r="B7" s="159">
        <f>概算シート!G8</f>
        <v>0</v>
      </c>
      <c r="C7" s="37">
        <f>IF($B7&gt;0,$O7,0)</f>
        <v>0</v>
      </c>
      <c r="D7" s="36">
        <f t="shared" si="0"/>
        <v>0</v>
      </c>
      <c r="E7" s="23">
        <f>IF(B7&lt;E$3,IF(B7&lt;D$3,0,B7-550000),0)</f>
        <v>0</v>
      </c>
      <c r="F7" s="23">
        <f>IF(B7&lt;F$3,IF(B7&lt;E$3,0,1069000),0)</f>
        <v>0</v>
      </c>
      <c r="G7" s="23">
        <f>IF(B7&lt;G$3,IF(B7&lt;F$3,0,1070000),0)</f>
        <v>0</v>
      </c>
      <c r="H7" s="23">
        <f>IF(B7&lt;H$3,IF(B7&lt;G$3,0,1072000),0)</f>
        <v>0</v>
      </c>
      <c r="I7" s="23">
        <f>IF(B7&lt;I$3,IF(B7&lt;H$3,0,1074000),0)</f>
        <v>0</v>
      </c>
      <c r="J7" s="23">
        <f>IF(B7&lt;J$3,IF(B7&lt;I$3,0,(TRUNC(B7/4000)*2.4)*1000+100000),0)</f>
        <v>0</v>
      </c>
      <c r="K7" s="23">
        <f>IF(B7&lt;K$3,IF(B7&lt;J$3,0,(TRUNC(B7/4000)*2.8-180)*1000+100000),0)</f>
        <v>0</v>
      </c>
      <c r="L7" s="23">
        <f>IF(B7&lt;L$3,IF(B7&lt;K$3,0,(TRUNC(B7/4000)*3.2-540)*1000+100000),0)</f>
        <v>0</v>
      </c>
      <c r="M7" s="23">
        <f t="shared" si="2"/>
        <v>0</v>
      </c>
      <c r="N7" s="23">
        <f>IF(B7&lt;M$3,0,TRUNC(B7-1950000))</f>
        <v>0</v>
      </c>
      <c r="O7" s="23">
        <f t="shared" si="1"/>
        <v>0</v>
      </c>
      <c r="P7" s="14"/>
      <c r="Q7" s="31" t="s">
        <v>10</v>
      </c>
      <c r="R7" s="160">
        <f>概算シート!I8</f>
        <v>0</v>
      </c>
      <c r="S7" s="161">
        <f>C7+概算シート!K8</f>
        <v>0</v>
      </c>
      <c r="T7" s="160">
        <f t="shared" si="3"/>
        <v>1</v>
      </c>
      <c r="U7" s="24">
        <f>IF(R7&gt;0,AN7,0)</f>
        <v>0</v>
      </c>
      <c r="V7" s="25">
        <v>0</v>
      </c>
      <c r="W7" s="26">
        <f t="shared" si="4"/>
        <v>0</v>
      </c>
      <c r="X7" s="26">
        <f t="shared" si="5"/>
        <v>0</v>
      </c>
      <c r="Y7" s="26">
        <f t="shared" si="6"/>
        <v>0</v>
      </c>
      <c r="Z7" s="26">
        <f t="shared" si="7"/>
        <v>0</v>
      </c>
      <c r="AA7" s="27">
        <f t="shared" si="8"/>
        <v>0</v>
      </c>
      <c r="AB7" s="25">
        <v>0</v>
      </c>
      <c r="AC7" s="26">
        <f t="shared" si="9"/>
        <v>0</v>
      </c>
      <c r="AD7" s="26">
        <f t="shared" si="10"/>
        <v>0</v>
      </c>
      <c r="AE7" s="26">
        <f t="shared" si="11"/>
        <v>0</v>
      </c>
      <c r="AF7" s="26">
        <f t="shared" si="12"/>
        <v>0</v>
      </c>
      <c r="AG7" s="27">
        <f t="shared" si="13"/>
        <v>0</v>
      </c>
      <c r="AH7" s="25">
        <v>0</v>
      </c>
      <c r="AI7" s="26">
        <f>IF($T7=3,IF($R7&lt;AI$3,IF($R7&lt;AH$3,0,$R7-400000),0),0)</f>
        <v>0</v>
      </c>
      <c r="AJ7" s="26">
        <f>IF($T7=3,IF($R7&lt;AJ$3,IF($R7&lt;AI$3,0,TRUNC($R7*0.75-75000)),0),0)</f>
        <v>0</v>
      </c>
      <c r="AK7" s="26">
        <f>IF($T7=3,IF($R7&lt;AK$3,IF($R7&lt;AJ$3,0,TRUNC($R7*0.85-485000)),0),0)</f>
        <v>0</v>
      </c>
      <c r="AL7" s="26">
        <f>IF($T7=3,IF($R7&lt;AL$3,IF($R7&lt;AK$3,0,TRUNC($R7*0.95-1255000)),0),0)</f>
        <v>0</v>
      </c>
      <c r="AM7" s="27">
        <f>IF($T7=3,IF($R7&gt;AL$3-1,$R7-1755000,0),0)</f>
        <v>0</v>
      </c>
      <c r="AN7" s="28">
        <f t="shared" si="14"/>
        <v>0</v>
      </c>
      <c r="AO7" s="29">
        <f>IF(R7&gt;0,BH7,0)</f>
        <v>0</v>
      </c>
      <c r="AP7" s="30">
        <v>0</v>
      </c>
      <c r="AQ7" s="31">
        <f>IF($T7=1,IF($R7&lt;AQ$3,IF($R7&lt;AP$3,0,$R7-1100000),0),0)</f>
        <v>0</v>
      </c>
      <c r="AR7" s="31">
        <f>IF($T7=1,IF($R7&lt;AR$3,IF($R7&lt;AQ$3,0,TRUNC($R7*0.75-275000)),0),0)</f>
        <v>0</v>
      </c>
      <c r="AS7" s="31">
        <f>IF($T7=1,IF($R7&lt;AS$3,IF($R7&lt;AR$3,0,TRUNC($R7*0.85-685000)),0),0)</f>
        <v>0</v>
      </c>
      <c r="AT7" s="31">
        <f>IF($T7=1,IF($R7&lt;AT$3,IF($R7&lt;AS$3,0,TRUNC($R7*0.95-1455000)),0),0)</f>
        <v>0</v>
      </c>
      <c r="AU7" s="32">
        <f>IF($T7=1,IF($R7&gt;AU$3-1,$R7-1955000,0),0)</f>
        <v>0</v>
      </c>
      <c r="AV7" s="30">
        <v>0</v>
      </c>
      <c r="AW7" s="31">
        <f t="shared" si="15"/>
        <v>0</v>
      </c>
      <c r="AX7" s="31">
        <f t="shared" si="16"/>
        <v>0</v>
      </c>
      <c r="AY7" s="31">
        <f t="shared" si="17"/>
        <v>0</v>
      </c>
      <c r="AZ7" s="31">
        <f t="shared" si="18"/>
        <v>0</v>
      </c>
      <c r="BA7" s="32">
        <f t="shared" si="19"/>
        <v>0</v>
      </c>
      <c r="BB7" s="30">
        <v>0</v>
      </c>
      <c r="BC7" s="31">
        <f>IF($T7=3,IF($R7&lt;BC$3,IF($R7&lt;BB$3,0,$R7-900000),0),0)</f>
        <v>0</v>
      </c>
      <c r="BD7" s="31">
        <f>IF($T7=3,IF($R7&lt;BD$3,IF($R7&lt;BC$3,0,TRUNC($R7*0.75-75000)),0),0)</f>
        <v>0</v>
      </c>
      <c r="BE7" s="31">
        <f>IF($T7=3,IF($R7&lt;BE$3,IF($R7&lt;BD$3,0,TRUNC($R7*0.85-485000)),0),0)</f>
        <v>0</v>
      </c>
      <c r="BF7" s="31">
        <f>IF($T7=3,IF($R7&lt;BF$3,IF($R7&lt;BE$3,0,TRUNC($R7*0.95-1255000)),0),0)</f>
        <v>0</v>
      </c>
      <c r="BG7" s="32">
        <f>IF($T7=3,IF($R7&gt;BG$3-1,$R7-1755000,0),0)</f>
        <v>0</v>
      </c>
      <c r="BH7" s="33">
        <f t="shared" si="20"/>
        <v>0</v>
      </c>
      <c r="BJ7" s="31" t="s">
        <v>10</v>
      </c>
      <c r="BK7" s="49">
        <f t="shared" si="21"/>
        <v>0</v>
      </c>
      <c r="BL7" s="49">
        <f t="shared" si="22"/>
        <v>0</v>
      </c>
      <c r="BM7" s="49">
        <f t="shared" si="23"/>
        <v>0</v>
      </c>
      <c r="BN7" s="49">
        <f t="shared" si="24"/>
        <v>0</v>
      </c>
      <c r="BP7" s="50">
        <f>税率!C44</f>
        <v>0</v>
      </c>
      <c r="BQ7" s="49">
        <f t="shared" si="25"/>
        <v>0</v>
      </c>
      <c r="BR7" s="51">
        <f t="shared" si="26"/>
        <v>0</v>
      </c>
    </row>
    <row r="8" spans="1:70" x14ac:dyDescent="0.15">
      <c r="A8" s="31" t="s">
        <v>11</v>
      </c>
      <c r="B8" s="159">
        <f>概算シート!G9</f>
        <v>0</v>
      </c>
      <c r="C8" s="37">
        <f>IF($B8&gt;0,$O8,0)</f>
        <v>0</v>
      </c>
      <c r="D8" s="36">
        <f t="shared" ref="D8:D14" si="27">IF(B8&lt;D$3,0,0)</f>
        <v>0</v>
      </c>
      <c r="E8" s="23">
        <f t="shared" ref="E8:E14" si="28">IF(B8&lt;E$3,IF(B8&lt;D$3,0,B8-550000),0)</f>
        <v>0</v>
      </c>
      <c r="F8" s="23">
        <f t="shared" ref="F8:F14" si="29">IF(B8&lt;F$3,IF(B8&lt;E$3,0,1069000),0)</f>
        <v>0</v>
      </c>
      <c r="G8" s="23">
        <f t="shared" ref="G8:G14" si="30">IF(B8&lt;G$3,IF(B8&lt;F$3,0,1070000),0)</f>
        <v>0</v>
      </c>
      <c r="H8" s="23">
        <f t="shared" ref="H8:H14" si="31">IF(B8&lt;H$3,IF(B8&lt;G$3,0,1072000),0)</f>
        <v>0</v>
      </c>
      <c r="I8" s="23">
        <f t="shared" ref="I8:I14" si="32">IF(B8&lt;I$3,IF(B8&lt;H$3,0,1074000),0)</f>
        <v>0</v>
      </c>
      <c r="J8" s="23">
        <f t="shared" ref="J8:J14" si="33">IF(B8&lt;J$3,IF(B8&lt;I$3,0,(TRUNC(B8/4000)*2.4)*1000+100000),0)</f>
        <v>0</v>
      </c>
      <c r="K8" s="23">
        <f t="shared" ref="K8:K14" si="34">IF(B8&lt;K$3,IF(B8&lt;J$3,0,(TRUNC(B8/4000)*2.8-180)*1000+100000),0)</f>
        <v>0</v>
      </c>
      <c r="L8" s="23">
        <f t="shared" ref="L8:L14" si="35">IF(B8&lt;L$3,IF(B8&lt;K$3,0,(TRUNC(B8/4000)*3.2-540)*1000+100000),0)</f>
        <v>0</v>
      </c>
      <c r="M8" s="23">
        <f t="shared" si="2"/>
        <v>0</v>
      </c>
      <c r="N8" s="23">
        <f t="shared" ref="N8:N14" si="36">IF(B8&lt;M$3,0,TRUNC(B8-1950000))</f>
        <v>0</v>
      </c>
      <c r="O8" s="23">
        <f t="shared" si="1"/>
        <v>0</v>
      </c>
      <c r="P8" s="14"/>
      <c r="Q8" s="31" t="s">
        <v>11</v>
      </c>
      <c r="R8" s="160">
        <f>概算シート!I9</f>
        <v>0</v>
      </c>
      <c r="S8" s="161">
        <f>C8+概算シート!K9</f>
        <v>0</v>
      </c>
      <c r="T8" s="160">
        <f t="shared" si="3"/>
        <v>1</v>
      </c>
      <c r="U8" s="24">
        <f>IF(R8&gt;0,AN8,0)</f>
        <v>0</v>
      </c>
      <c r="V8" s="25">
        <v>0</v>
      </c>
      <c r="W8" s="26">
        <f t="shared" si="4"/>
        <v>0</v>
      </c>
      <c r="X8" s="26">
        <f t="shared" si="5"/>
        <v>0</v>
      </c>
      <c r="Y8" s="26">
        <f t="shared" si="6"/>
        <v>0</v>
      </c>
      <c r="Z8" s="26">
        <f t="shared" si="7"/>
        <v>0</v>
      </c>
      <c r="AA8" s="27">
        <f t="shared" si="8"/>
        <v>0</v>
      </c>
      <c r="AB8" s="25">
        <v>0</v>
      </c>
      <c r="AC8" s="26">
        <f t="shared" si="9"/>
        <v>0</v>
      </c>
      <c r="AD8" s="26">
        <f t="shared" si="10"/>
        <v>0</v>
      </c>
      <c r="AE8" s="26">
        <f t="shared" si="11"/>
        <v>0</v>
      </c>
      <c r="AF8" s="26">
        <f t="shared" si="12"/>
        <v>0</v>
      </c>
      <c r="AG8" s="27">
        <f t="shared" si="13"/>
        <v>0</v>
      </c>
      <c r="AH8" s="25">
        <v>0</v>
      </c>
      <c r="AI8" s="26">
        <f t="shared" ref="AI8:AI14" si="37">IF($T8=3,IF($R8&lt;AI$3,IF($R8&lt;AH$3,0,$R8-400000),0),0)</f>
        <v>0</v>
      </c>
      <c r="AJ8" s="26">
        <f t="shared" ref="AJ8:AJ14" si="38">IF($T8=3,IF($R8&lt;AJ$3,IF($R8&lt;AI$3,0,TRUNC($R8*0.75-75000)),0),0)</f>
        <v>0</v>
      </c>
      <c r="AK8" s="26">
        <f t="shared" ref="AK8:AK14" si="39">IF($T8=3,IF($R8&lt;AK$3,IF($R8&lt;AJ$3,0,TRUNC($R8*0.85-485000)),0),0)</f>
        <v>0</v>
      </c>
      <c r="AL8" s="26">
        <f t="shared" ref="AL8:AL14" si="40">IF($T8=3,IF($R8&lt;AL$3,IF($R8&lt;AK$3,0,TRUNC($R8*0.95-1255000)),0),0)</f>
        <v>0</v>
      </c>
      <c r="AM8" s="27">
        <f t="shared" ref="AM8:AM14" si="41">IF($T8=3,IF($R8&gt;AL$3-1,$R8-1755000,0),0)</f>
        <v>0</v>
      </c>
      <c r="AN8" s="28">
        <f t="shared" si="14"/>
        <v>0</v>
      </c>
      <c r="AO8" s="29">
        <f>IF(R8&gt;0,BH8,0)</f>
        <v>0</v>
      </c>
      <c r="AP8" s="30">
        <v>0</v>
      </c>
      <c r="AQ8" s="31">
        <f t="shared" ref="AQ8:AQ14" si="42">IF($T8=1,IF($R8&lt;AQ$3,IF($R8&lt;AP$3,0,$R8-1100000),0),0)</f>
        <v>0</v>
      </c>
      <c r="AR8" s="31">
        <f t="shared" ref="AR8:AR14" si="43">IF($T8=1,IF($R8&lt;AR$3,IF($R8&lt;AQ$3,0,TRUNC($R8*0.75-275000)),0),0)</f>
        <v>0</v>
      </c>
      <c r="AS8" s="31">
        <f t="shared" ref="AS8:AS14" si="44">IF($T8=1,IF($R8&lt;AS$3,IF($R8&lt;AR$3,0,TRUNC($R8*0.85-685000)),0),0)</f>
        <v>0</v>
      </c>
      <c r="AT8" s="31">
        <f t="shared" ref="AT8:AT14" si="45">IF($T8=1,IF($R8&lt;AT$3,IF($R8&lt;AS$3,0,TRUNC($R8*0.95-1455000)),0),0)</f>
        <v>0</v>
      </c>
      <c r="AU8" s="32">
        <f t="shared" ref="AU8:AU14" si="46">IF($T8=1,IF($R8&gt;AU$3-1,$R8-1955000,0),0)</f>
        <v>0</v>
      </c>
      <c r="AV8" s="30">
        <v>0</v>
      </c>
      <c r="AW8" s="31">
        <f t="shared" si="15"/>
        <v>0</v>
      </c>
      <c r="AX8" s="31">
        <f t="shared" si="16"/>
        <v>0</v>
      </c>
      <c r="AY8" s="31">
        <f t="shared" si="17"/>
        <v>0</v>
      </c>
      <c r="AZ8" s="31">
        <f t="shared" si="18"/>
        <v>0</v>
      </c>
      <c r="BA8" s="32">
        <f t="shared" si="19"/>
        <v>0</v>
      </c>
      <c r="BB8" s="30">
        <v>0</v>
      </c>
      <c r="BC8" s="31">
        <f t="shared" ref="BC8:BC14" si="47">IF($T8=3,IF($R8&lt;BC$3,IF($R8&lt;BB$3,0,$R8-900000),0),0)</f>
        <v>0</v>
      </c>
      <c r="BD8" s="31">
        <f t="shared" ref="BD8:BD14" si="48">IF($T8=3,IF($R8&lt;BD$3,IF($R8&lt;BC$3,0,TRUNC($R8*0.75-75000)),0),0)</f>
        <v>0</v>
      </c>
      <c r="BE8" s="31">
        <f t="shared" ref="BE8:BE14" si="49">IF($T8=3,IF($R8&lt;BE$3,IF($R8&lt;BD$3,0,TRUNC($R8*0.85-485000)),0),0)</f>
        <v>0</v>
      </c>
      <c r="BF8" s="31">
        <f t="shared" ref="BF8:BF14" si="50">IF($T8=3,IF($R8&lt;BF$3,IF($R8&lt;BE$3,0,TRUNC($R8*0.95-1255000)),0),0)</f>
        <v>0</v>
      </c>
      <c r="BG8" s="32">
        <f t="shared" ref="BG8:BG14" si="51">IF($T8=3,IF($R8&gt;BG$3-1,$R8-1755000,0),0)</f>
        <v>0</v>
      </c>
      <c r="BH8" s="33">
        <f t="shared" si="20"/>
        <v>0</v>
      </c>
      <c r="BJ8" s="31" t="s">
        <v>11</v>
      </c>
      <c r="BK8" s="49">
        <f t="shared" si="21"/>
        <v>0</v>
      </c>
      <c r="BL8" s="49">
        <f t="shared" si="22"/>
        <v>0</v>
      </c>
      <c r="BM8" s="49">
        <f t="shared" si="23"/>
        <v>0</v>
      </c>
      <c r="BN8" s="49">
        <f t="shared" si="24"/>
        <v>0</v>
      </c>
      <c r="BP8" s="50">
        <f>税率!C45</f>
        <v>0</v>
      </c>
      <c r="BQ8" s="49">
        <f t="shared" si="25"/>
        <v>0</v>
      </c>
      <c r="BR8" s="51">
        <f t="shared" si="26"/>
        <v>0</v>
      </c>
    </row>
    <row r="9" spans="1:70" x14ac:dyDescent="0.15">
      <c r="A9" s="31" t="s">
        <v>12</v>
      </c>
      <c r="B9" s="159">
        <f>概算シート!G10</f>
        <v>0</v>
      </c>
      <c r="C9" s="37">
        <f>IF($B9&gt;0,$O9,0)</f>
        <v>0</v>
      </c>
      <c r="D9" s="36">
        <f t="shared" si="27"/>
        <v>0</v>
      </c>
      <c r="E9" s="23">
        <f t="shared" si="28"/>
        <v>0</v>
      </c>
      <c r="F9" s="23">
        <f t="shared" si="29"/>
        <v>0</v>
      </c>
      <c r="G9" s="23">
        <f t="shared" si="30"/>
        <v>0</v>
      </c>
      <c r="H9" s="23">
        <f t="shared" si="31"/>
        <v>0</v>
      </c>
      <c r="I9" s="23">
        <f t="shared" si="32"/>
        <v>0</v>
      </c>
      <c r="J9" s="23">
        <f t="shared" si="33"/>
        <v>0</v>
      </c>
      <c r="K9" s="23">
        <f t="shared" si="34"/>
        <v>0</v>
      </c>
      <c r="L9" s="23">
        <f t="shared" si="35"/>
        <v>0</v>
      </c>
      <c r="M9" s="23">
        <f t="shared" ref="M9:M14" si="52">IF(B9&lt;M$3,IF(B9&lt;L$3,0,TRUNC(B9-1760000-((B9-6600000)*0.1))),0)</f>
        <v>0</v>
      </c>
      <c r="N9" s="23">
        <f t="shared" si="36"/>
        <v>0</v>
      </c>
      <c r="O9" s="23">
        <f t="shared" si="1"/>
        <v>0</v>
      </c>
      <c r="P9" s="14"/>
      <c r="Q9" s="31" t="s">
        <v>12</v>
      </c>
      <c r="R9" s="160">
        <f>概算シート!I10</f>
        <v>0</v>
      </c>
      <c r="S9" s="161">
        <f>C9+概算シート!K10</f>
        <v>0</v>
      </c>
      <c r="T9" s="160">
        <f t="shared" si="3"/>
        <v>1</v>
      </c>
      <c r="U9" s="24">
        <f>IF(R9&gt;0,AN9,0)</f>
        <v>0</v>
      </c>
      <c r="V9" s="25">
        <v>0</v>
      </c>
      <c r="W9" s="26">
        <f t="shared" ref="W9:W14" si="53">IF($T9=1,IF($R9&lt;W$3,IF($R9&lt;V$3,0,$R9-600000),0),0)</f>
        <v>0</v>
      </c>
      <c r="X9" s="26">
        <f t="shared" ref="X9:X14" si="54">IF($T9=1,IF($R9&lt;X$3,IF($R9&lt;W$3,0,TRUNC($R9*0.75-275000)),0),0)</f>
        <v>0</v>
      </c>
      <c r="Y9" s="26">
        <f t="shared" ref="Y9:Y14" si="55">IF($T9=1,IF($R9&lt;Y$3,IF($R9&lt;X$3,0,TRUNC($R9*0.85-685000)),0),0)</f>
        <v>0</v>
      </c>
      <c r="Z9" s="26">
        <f t="shared" ref="Z9:Z14" si="56">IF($T9=1,IF($R9&lt;Z$3,IF($R9&lt;Y$3,0,TRUNC($R9*0.95-1455000)),0),0)</f>
        <v>0</v>
      </c>
      <c r="AA9" s="27">
        <f t="shared" ref="AA9:AA14" si="57">IF($T9=1,IF($R9&gt;Z$3-1,$R9-1955000,0),0)</f>
        <v>0</v>
      </c>
      <c r="AB9" s="25">
        <v>0</v>
      </c>
      <c r="AC9" s="26">
        <f t="shared" ref="AC9:AC14" si="58">IF($T9=2,IF($R9&lt;AC$3,IF($R9&lt;AB$3,0,$R9-500000),0),0)</f>
        <v>0</v>
      </c>
      <c r="AD9" s="26">
        <f t="shared" ref="AD9:AD14" si="59">IF($T9=2,IF($R9&lt;AD$3,IF($R9&lt;AC$3,0,TRUNC($R9*0.75-175000)),0),0)</f>
        <v>0</v>
      </c>
      <c r="AE9" s="26">
        <f t="shared" ref="AE9:AE14" si="60">IF($T9=2,IF($R9&lt;AE$3,IF($R9&lt;AD$3,0,TRUNC($R9*0.85-585000)),0),0)</f>
        <v>0</v>
      </c>
      <c r="AF9" s="26">
        <f t="shared" ref="AF9:AF14" si="61">IF($T9=2,IF($R9&lt;AF$3,IF($R9&lt;AE$3,0,TRUNC($R9*0.95-1355000)),0),0)</f>
        <v>0</v>
      </c>
      <c r="AG9" s="27">
        <f t="shared" ref="AG9:AG14" si="62">IF($T9=2,IF($R9&gt;AF$3-1,$R9-1855000,0),0)</f>
        <v>0</v>
      </c>
      <c r="AH9" s="25">
        <v>0</v>
      </c>
      <c r="AI9" s="26">
        <f t="shared" si="37"/>
        <v>0</v>
      </c>
      <c r="AJ9" s="26">
        <f t="shared" si="38"/>
        <v>0</v>
      </c>
      <c r="AK9" s="26">
        <f t="shared" si="39"/>
        <v>0</v>
      </c>
      <c r="AL9" s="26">
        <f t="shared" si="40"/>
        <v>0</v>
      </c>
      <c r="AM9" s="27">
        <f t="shared" si="41"/>
        <v>0</v>
      </c>
      <c r="AN9" s="28">
        <f t="shared" si="14"/>
        <v>0</v>
      </c>
      <c r="AO9" s="29">
        <f>IF(R9&gt;0,BH9,0)</f>
        <v>0</v>
      </c>
      <c r="AP9" s="30">
        <v>0</v>
      </c>
      <c r="AQ9" s="31">
        <f t="shared" si="42"/>
        <v>0</v>
      </c>
      <c r="AR9" s="31">
        <f t="shared" si="43"/>
        <v>0</v>
      </c>
      <c r="AS9" s="31">
        <f t="shared" si="44"/>
        <v>0</v>
      </c>
      <c r="AT9" s="31">
        <f t="shared" si="45"/>
        <v>0</v>
      </c>
      <c r="AU9" s="32">
        <f t="shared" si="46"/>
        <v>0</v>
      </c>
      <c r="AV9" s="30">
        <v>0</v>
      </c>
      <c r="AW9" s="31">
        <f t="shared" ref="AW9:AW14" si="63">IF($T9=2,IF($R9&lt;AW$3,IF($R9&lt;AV$3,0,$R9-1000000),0),0)</f>
        <v>0</v>
      </c>
      <c r="AX9" s="31">
        <f t="shared" ref="AX9:AX14" si="64">IF($T9=2,IF($R9&lt;AX$3,IF($R9&lt;AW$3,0,TRUNC($R9*0.75-175000)),0),0)</f>
        <v>0</v>
      </c>
      <c r="AY9" s="31">
        <f t="shared" ref="AY9:AY14" si="65">IF($T9=2,IF($R9&lt;AY$3,IF($R9&lt;AX$3,0,TRUNC($R9*0.85-585000)),0),0)</f>
        <v>0</v>
      </c>
      <c r="AZ9" s="31">
        <f t="shared" ref="AZ9:AZ14" si="66">IF($T9=2,IF($R9&lt;AZ$3,IF($R9&lt;AY$3,0,TRUNC($R9*0.95-1355000)),0),0)</f>
        <v>0</v>
      </c>
      <c r="BA9" s="32">
        <f t="shared" si="19"/>
        <v>0</v>
      </c>
      <c r="BB9" s="30">
        <v>0</v>
      </c>
      <c r="BC9" s="31">
        <f t="shared" si="47"/>
        <v>0</v>
      </c>
      <c r="BD9" s="31">
        <f t="shared" si="48"/>
        <v>0</v>
      </c>
      <c r="BE9" s="31">
        <f t="shared" si="49"/>
        <v>0</v>
      </c>
      <c r="BF9" s="31">
        <f t="shared" si="50"/>
        <v>0</v>
      </c>
      <c r="BG9" s="32">
        <f t="shared" si="51"/>
        <v>0</v>
      </c>
      <c r="BH9" s="33">
        <f t="shared" si="20"/>
        <v>0</v>
      </c>
      <c r="BJ9" s="31" t="s">
        <v>12</v>
      </c>
      <c r="BK9" s="49">
        <f t="shared" si="21"/>
        <v>0</v>
      </c>
      <c r="BL9" s="49">
        <f t="shared" si="22"/>
        <v>0</v>
      </c>
      <c r="BM9" s="49">
        <f t="shared" si="23"/>
        <v>0</v>
      </c>
      <c r="BN9" s="49">
        <f t="shared" si="24"/>
        <v>0</v>
      </c>
      <c r="BP9" s="50">
        <f>税率!C46</f>
        <v>0</v>
      </c>
      <c r="BQ9" s="49">
        <f t="shared" si="25"/>
        <v>0</v>
      </c>
      <c r="BR9" s="51">
        <f t="shared" si="26"/>
        <v>0</v>
      </c>
    </row>
    <row r="10" spans="1:70" x14ac:dyDescent="0.15">
      <c r="A10" s="31" t="s">
        <v>13</v>
      </c>
      <c r="B10" s="159">
        <f>概算シート!G11</f>
        <v>0</v>
      </c>
      <c r="C10" s="37">
        <f t="shared" ref="C10:C14" si="67">IF($B10&gt;0,$O10,0)</f>
        <v>0</v>
      </c>
      <c r="D10" s="36">
        <f t="shared" si="27"/>
        <v>0</v>
      </c>
      <c r="E10" s="23">
        <f t="shared" si="28"/>
        <v>0</v>
      </c>
      <c r="F10" s="23">
        <f t="shared" si="29"/>
        <v>0</v>
      </c>
      <c r="G10" s="23">
        <f t="shared" si="30"/>
        <v>0</v>
      </c>
      <c r="H10" s="23">
        <f t="shared" si="31"/>
        <v>0</v>
      </c>
      <c r="I10" s="23">
        <f t="shared" si="32"/>
        <v>0</v>
      </c>
      <c r="J10" s="23">
        <f t="shared" si="33"/>
        <v>0</v>
      </c>
      <c r="K10" s="23">
        <f t="shared" si="34"/>
        <v>0</v>
      </c>
      <c r="L10" s="23">
        <f t="shared" si="35"/>
        <v>0</v>
      </c>
      <c r="M10" s="23">
        <f t="shared" si="52"/>
        <v>0</v>
      </c>
      <c r="N10" s="23">
        <f t="shared" si="36"/>
        <v>0</v>
      </c>
      <c r="O10" s="23">
        <f t="shared" si="1"/>
        <v>0</v>
      </c>
      <c r="P10" s="14"/>
      <c r="Q10" s="31" t="s">
        <v>13</v>
      </c>
      <c r="R10" s="160">
        <f>概算シート!I11</f>
        <v>0</v>
      </c>
      <c r="S10" s="161">
        <f>C10+概算シート!K11</f>
        <v>0</v>
      </c>
      <c r="T10" s="160">
        <f t="shared" si="3"/>
        <v>1</v>
      </c>
      <c r="U10" s="24">
        <f t="shared" ref="U10:U14" si="68">IF(R10&gt;0,AN10,0)</f>
        <v>0</v>
      </c>
      <c r="V10" s="25">
        <v>0</v>
      </c>
      <c r="W10" s="26">
        <f t="shared" si="53"/>
        <v>0</v>
      </c>
      <c r="X10" s="26">
        <f t="shared" si="54"/>
        <v>0</v>
      </c>
      <c r="Y10" s="26">
        <f t="shared" si="55"/>
        <v>0</v>
      </c>
      <c r="Z10" s="26">
        <f t="shared" si="56"/>
        <v>0</v>
      </c>
      <c r="AA10" s="27">
        <f t="shared" si="57"/>
        <v>0</v>
      </c>
      <c r="AB10" s="25">
        <v>0</v>
      </c>
      <c r="AC10" s="26">
        <f t="shared" si="58"/>
        <v>0</v>
      </c>
      <c r="AD10" s="26">
        <f t="shared" si="59"/>
        <v>0</v>
      </c>
      <c r="AE10" s="26">
        <f t="shared" si="60"/>
        <v>0</v>
      </c>
      <c r="AF10" s="26">
        <f t="shared" si="61"/>
        <v>0</v>
      </c>
      <c r="AG10" s="27">
        <f t="shared" si="62"/>
        <v>0</v>
      </c>
      <c r="AH10" s="25">
        <v>0</v>
      </c>
      <c r="AI10" s="26">
        <f t="shared" si="37"/>
        <v>0</v>
      </c>
      <c r="AJ10" s="26">
        <f t="shared" si="38"/>
        <v>0</v>
      </c>
      <c r="AK10" s="26">
        <f t="shared" si="39"/>
        <v>0</v>
      </c>
      <c r="AL10" s="26">
        <f t="shared" si="40"/>
        <v>0</v>
      </c>
      <c r="AM10" s="27">
        <f t="shared" si="41"/>
        <v>0</v>
      </c>
      <c r="AN10" s="28">
        <f t="shared" si="14"/>
        <v>0</v>
      </c>
      <c r="AO10" s="29">
        <f t="shared" ref="AO10:AO14" si="69">IF(R10&gt;0,BH10,0)</f>
        <v>0</v>
      </c>
      <c r="AP10" s="30">
        <v>0</v>
      </c>
      <c r="AQ10" s="31">
        <f t="shared" si="42"/>
        <v>0</v>
      </c>
      <c r="AR10" s="31">
        <f t="shared" si="43"/>
        <v>0</v>
      </c>
      <c r="AS10" s="31">
        <f t="shared" si="44"/>
        <v>0</v>
      </c>
      <c r="AT10" s="31">
        <f t="shared" si="45"/>
        <v>0</v>
      </c>
      <c r="AU10" s="32">
        <f t="shared" si="46"/>
        <v>0</v>
      </c>
      <c r="AV10" s="30">
        <v>0</v>
      </c>
      <c r="AW10" s="31">
        <f t="shared" si="63"/>
        <v>0</v>
      </c>
      <c r="AX10" s="31">
        <f t="shared" si="64"/>
        <v>0</v>
      </c>
      <c r="AY10" s="31">
        <f t="shared" si="65"/>
        <v>0</v>
      </c>
      <c r="AZ10" s="31">
        <f t="shared" si="66"/>
        <v>0</v>
      </c>
      <c r="BA10" s="32">
        <f t="shared" si="19"/>
        <v>0</v>
      </c>
      <c r="BB10" s="30">
        <v>0</v>
      </c>
      <c r="BC10" s="31">
        <f t="shared" si="47"/>
        <v>0</v>
      </c>
      <c r="BD10" s="31">
        <f t="shared" si="48"/>
        <v>0</v>
      </c>
      <c r="BE10" s="31">
        <f t="shared" si="49"/>
        <v>0</v>
      </c>
      <c r="BF10" s="31">
        <f t="shared" si="50"/>
        <v>0</v>
      </c>
      <c r="BG10" s="32">
        <f t="shared" si="51"/>
        <v>0</v>
      </c>
      <c r="BH10" s="33">
        <f t="shared" ref="BH10:BH14" si="70">SUM(AP10:AU10)</f>
        <v>0</v>
      </c>
      <c r="BJ10" s="31" t="s">
        <v>13</v>
      </c>
      <c r="BK10" s="49">
        <f t="shared" si="21"/>
        <v>0</v>
      </c>
      <c r="BL10" s="49">
        <f t="shared" si="22"/>
        <v>0</v>
      </c>
      <c r="BM10" s="49">
        <f t="shared" si="23"/>
        <v>0</v>
      </c>
      <c r="BN10" s="49">
        <f t="shared" si="24"/>
        <v>0</v>
      </c>
      <c r="BP10" s="50">
        <f>税率!C47</f>
        <v>0</v>
      </c>
      <c r="BQ10" s="49">
        <f t="shared" si="25"/>
        <v>0</v>
      </c>
      <c r="BR10" s="51">
        <f t="shared" si="26"/>
        <v>0</v>
      </c>
    </row>
    <row r="11" spans="1:70" x14ac:dyDescent="0.15">
      <c r="A11" s="31" t="s">
        <v>14</v>
      </c>
      <c r="B11" s="159">
        <f>概算シート!G12</f>
        <v>0</v>
      </c>
      <c r="C11" s="37">
        <f t="shared" si="67"/>
        <v>0</v>
      </c>
      <c r="D11" s="36">
        <f t="shared" si="27"/>
        <v>0</v>
      </c>
      <c r="E11" s="23">
        <f t="shared" si="28"/>
        <v>0</v>
      </c>
      <c r="F11" s="23">
        <f t="shared" si="29"/>
        <v>0</v>
      </c>
      <c r="G11" s="23">
        <f t="shared" si="30"/>
        <v>0</v>
      </c>
      <c r="H11" s="23">
        <f t="shared" si="31"/>
        <v>0</v>
      </c>
      <c r="I11" s="23">
        <f t="shared" si="32"/>
        <v>0</v>
      </c>
      <c r="J11" s="23">
        <f t="shared" si="33"/>
        <v>0</v>
      </c>
      <c r="K11" s="23">
        <f t="shared" si="34"/>
        <v>0</v>
      </c>
      <c r="L11" s="23">
        <f t="shared" si="35"/>
        <v>0</v>
      </c>
      <c r="M11" s="23">
        <f t="shared" si="52"/>
        <v>0</v>
      </c>
      <c r="N11" s="23">
        <f t="shared" si="36"/>
        <v>0</v>
      </c>
      <c r="O11" s="23">
        <f t="shared" si="1"/>
        <v>0</v>
      </c>
      <c r="P11" s="14"/>
      <c r="Q11" s="31" t="s">
        <v>14</v>
      </c>
      <c r="R11" s="160">
        <f>概算シート!I12</f>
        <v>0</v>
      </c>
      <c r="S11" s="161">
        <f>C11+概算シート!K12</f>
        <v>0</v>
      </c>
      <c r="T11" s="160">
        <f t="shared" si="3"/>
        <v>1</v>
      </c>
      <c r="U11" s="24">
        <f t="shared" si="68"/>
        <v>0</v>
      </c>
      <c r="V11" s="25">
        <v>0</v>
      </c>
      <c r="W11" s="26">
        <f t="shared" si="53"/>
        <v>0</v>
      </c>
      <c r="X11" s="26">
        <f t="shared" si="54"/>
        <v>0</v>
      </c>
      <c r="Y11" s="26">
        <f t="shared" si="55"/>
        <v>0</v>
      </c>
      <c r="Z11" s="26">
        <f t="shared" si="56"/>
        <v>0</v>
      </c>
      <c r="AA11" s="27">
        <f t="shared" si="57"/>
        <v>0</v>
      </c>
      <c r="AB11" s="25">
        <v>0</v>
      </c>
      <c r="AC11" s="26">
        <f t="shared" si="58"/>
        <v>0</v>
      </c>
      <c r="AD11" s="26">
        <f t="shared" si="59"/>
        <v>0</v>
      </c>
      <c r="AE11" s="26">
        <f t="shared" si="60"/>
        <v>0</v>
      </c>
      <c r="AF11" s="26">
        <f t="shared" si="61"/>
        <v>0</v>
      </c>
      <c r="AG11" s="27">
        <f t="shared" si="62"/>
        <v>0</v>
      </c>
      <c r="AH11" s="25">
        <v>0</v>
      </c>
      <c r="AI11" s="26">
        <f t="shared" si="37"/>
        <v>0</v>
      </c>
      <c r="AJ11" s="26">
        <f t="shared" si="38"/>
        <v>0</v>
      </c>
      <c r="AK11" s="26">
        <f t="shared" si="39"/>
        <v>0</v>
      </c>
      <c r="AL11" s="26">
        <f t="shared" si="40"/>
        <v>0</v>
      </c>
      <c r="AM11" s="27">
        <f t="shared" si="41"/>
        <v>0</v>
      </c>
      <c r="AN11" s="28">
        <f t="shared" si="14"/>
        <v>0</v>
      </c>
      <c r="AO11" s="29">
        <f t="shared" si="69"/>
        <v>0</v>
      </c>
      <c r="AP11" s="30">
        <v>0</v>
      </c>
      <c r="AQ11" s="31">
        <f t="shared" si="42"/>
        <v>0</v>
      </c>
      <c r="AR11" s="31">
        <f t="shared" si="43"/>
        <v>0</v>
      </c>
      <c r="AS11" s="31">
        <f t="shared" si="44"/>
        <v>0</v>
      </c>
      <c r="AT11" s="31">
        <f t="shared" si="45"/>
        <v>0</v>
      </c>
      <c r="AU11" s="32">
        <f t="shared" si="46"/>
        <v>0</v>
      </c>
      <c r="AV11" s="30">
        <v>0</v>
      </c>
      <c r="AW11" s="31">
        <f t="shared" si="63"/>
        <v>0</v>
      </c>
      <c r="AX11" s="31">
        <f t="shared" si="64"/>
        <v>0</v>
      </c>
      <c r="AY11" s="31">
        <f t="shared" si="65"/>
        <v>0</v>
      </c>
      <c r="AZ11" s="31">
        <f t="shared" si="66"/>
        <v>0</v>
      </c>
      <c r="BA11" s="32">
        <f t="shared" si="19"/>
        <v>0</v>
      </c>
      <c r="BB11" s="30">
        <v>0</v>
      </c>
      <c r="BC11" s="31">
        <f t="shared" si="47"/>
        <v>0</v>
      </c>
      <c r="BD11" s="31">
        <f t="shared" si="48"/>
        <v>0</v>
      </c>
      <c r="BE11" s="31">
        <f t="shared" si="49"/>
        <v>0</v>
      </c>
      <c r="BF11" s="31">
        <f t="shared" si="50"/>
        <v>0</v>
      </c>
      <c r="BG11" s="32">
        <f t="shared" si="51"/>
        <v>0</v>
      </c>
      <c r="BH11" s="33">
        <f t="shared" si="70"/>
        <v>0</v>
      </c>
      <c r="BJ11" s="31" t="s">
        <v>14</v>
      </c>
      <c r="BK11" s="49">
        <f t="shared" si="21"/>
        <v>0</v>
      </c>
      <c r="BL11" s="49">
        <f t="shared" si="22"/>
        <v>0</v>
      </c>
      <c r="BM11" s="49">
        <f t="shared" si="23"/>
        <v>0</v>
      </c>
      <c r="BN11" s="49">
        <f t="shared" si="24"/>
        <v>0</v>
      </c>
      <c r="BP11" s="50">
        <f>税率!C48</f>
        <v>0</v>
      </c>
      <c r="BQ11" s="49">
        <f t="shared" si="25"/>
        <v>0</v>
      </c>
      <c r="BR11" s="51">
        <f t="shared" si="26"/>
        <v>0</v>
      </c>
    </row>
    <row r="12" spans="1:70" x14ac:dyDescent="0.15">
      <c r="A12" s="31" t="s">
        <v>15</v>
      </c>
      <c r="B12" s="159">
        <f>概算シート!G13</f>
        <v>0</v>
      </c>
      <c r="C12" s="37">
        <f t="shared" si="67"/>
        <v>0</v>
      </c>
      <c r="D12" s="36">
        <f t="shared" si="27"/>
        <v>0</v>
      </c>
      <c r="E12" s="23">
        <f t="shared" si="28"/>
        <v>0</v>
      </c>
      <c r="F12" s="23">
        <f t="shared" si="29"/>
        <v>0</v>
      </c>
      <c r="G12" s="23">
        <f t="shared" si="30"/>
        <v>0</v>
      </c>
      <c r="H12" s="23">
        <f t="shared" si="31"/>
        <v>0</v>
      </c>
      <c r="I12" s="23">
        <f t="shared" si="32"/>
        <v>0</v>
      </c>
      <c r="J12" s="23">
        <f t="shared" si="33"/>
        <v>0</v>
      </c>
      <c r="K12" s="23">
        <f t="shared" si="34"/>
        <v>0</v>
      </c>
      <c r="L12" s="23">
        <f t="shared" si="35"/>
        <v>0</v>
      </c>
      <c r="M12" s="23">
        <f t="shared" si="52"/>
        <v>0</v>
      </c>
      <c r="N12" s="23">
        <f t="shared" si="36"/>
        <v>0</v>
      </c>
      <c r="O12" s="23">
        <f t="shared" si="1"/>
        <v>0</v>
      </c>
      <c r="P12" s="14"/>
      <c r="Q12" s="31" t="s">
        <v>15</v>
      </c>
      <c r="R12" s="160">
        <f>概算シート!I13</f>
        <v>0</v>
      </c>
      <c r="S12" s="161">
        <f>C12+概算シート!K13</f>
        <v>0</v>
      </c>
      <c r="T12" s="160">
        <f t="shared" si="3"/>
        <v>1</v>
      </c>
      <c r="U12" s="24">
        <f t="shared" si="68"/>
        <v>0</v>
      </c>
      <c r="V12" s="25">
        <v>0</v>
      </c>
      <c r="W12" s="26">
        <f t="shared" si="53"/>
        <v>0</v>
      </c>
      <c r="X12" s="26">
        <f t="shared" si="54"/>
        <v>0</v>
      </c>
      <c r="Y12" s="26">
        <f t="shared" si="55"/>
        <v>0</v>
      </c>
      <c r="Z12" s="26">
        <f t="shared" si="56"/>
        <v>0</v>
      </c>
      <c r="AA12" s="27">
        <f t="shared" si="57"/>
        <v>0</v>
      </c>
      <c r="AB12" s="25">
        <v>0</v>
      </c>
      <c r="AC12" s="26">
        <f t="shared" si="58"/>
        <v>0</v>
      </c>
      <c r="AD12" s="26">
        <f t="shared" si="59"/>
        <v>0</v>
      </c>
      <c r="AE12" s="26">
        <f t="shared" si="60"/>
        <v>0</v>
      </c>
      <c r="AF12" s="26">
        <f t="shared" si="61"/>
        <v>0</v>
      </c>
      <c r="AG12" s="27">
        <f t="shared" si="62"/>
        <v>0</v>
      </c>
      <c r="AH12" s="25">
        <v>0</v>
      </c>
      <c r="AI12" s="26">
        <f t="shared" si="37"/>
        <v>0</v>
      </c>
      <c r="AJ12" s="26">
        <f t="shared" si="38"/>
        <v>0</v>
      </c>
      <c r="AK12" s="26">
        <f t="shared" si="39"/>
        <v>0</v>
      </c>
      <c r="AL12" s="26">
        <f t="shared" si="40"/>
        <v>0</v>
      </c>
      <c r="AM12" s="27">
        <f t="shared" si="41"/>
        <v>0</v>
      </c>
      <c r="AN12" s="28">
        <f t="shared" si="14"/>
        <v>0</v>
      </c>
      <c r="AO12" s="29">
        <f t="shared" si="69"/>
        <v>0</v>
      </c>
      <c r="AP12" s="30">
        <v>0</v>
      </c>
      <c r="AQ12" s="31">
        <f t="shared" si="42"/>
        <v>0</v>
      </c>
      <c r="AR12" s="31">
        <f t="shared" si="43"/>
        <v>0</v>
      </c>
      <c r="AS12" s="31">
        <f t="shared" si="44"/>
        <v>0</v>
      </c>
      <c r="AT12" s="31">
        <f t="shared" si="45"/>
        <v>0</v>
      </c>
      <c r="AU12" s="32">
        <f t="shared" si="46"/>
        <v>0</v>
      </c>
      <c r="AV12" s="30">
        <v>0</v>
      </c>
      <c r="AW12" s="31">
        <f t="shared" si="63"/>
        <v>0</v>
      </c>
      <c r="AX12" s="31">
        <f t="shared" si="64"/>
        <v>0</v>
      </c>
      <c r="AY12" s="31">
        <f t="shared" si="65"/>
        <v>0</v>
      </c>
      <c r="AZ12" s="31">
        <f t="shared" si="66"/>
        <v>0</v>
      </c>
      <c r="BA12" s="32">
        <f t="shared" si="19"/>
        <v>0</v>
      </c>
      <c r="BB12" s="30">
        <v>0</v>
      </c>
      <c r="BC12" s="31">
        <f t="shared" si="47"/>
        <v>0</v>
      </c>
      <c r="BD12" s="31">
        <f t="shared" si="48"/>
        <v>0</v>
      </c>
      <c r="BE12" s="31">
        <f t="shared" si="49"/>
        <v>0</v>
      </c>
      <c r="BF12" s="31">
        <f t="shared" si="50"/>
        <v>0</v>
      </c>
      <c r="BG12" s="32">
        <f t="shared" si="51"/>
        <v>0</v>
      </c>
      <c r="BH12" s="33">
        <f t="shared" si="70"/>
        <v>0</v>
      </c>
      <c r="BJ12" s="31" t="s">
        <v>15</v>
      </c>
      <c r="BK12" s="49">
        <f t="shared" si="21"/>
        <v>0</v>
      </c>
      <c r="BL12" s="49">
        <f t="shared" si="22"/>
        <v>0</v>
      </c>
      <c r="BM12" s="49">
        <f t="shared" si="23"/>
        <v>0</v>
      </c>
      <c r="BN12" s="49">
        <f t="shared" si="24"/>
        <v>0</v>
      </c>
      <c r="BP12" s="50">
        <f>税率!C49</f>
        <v>0</v>
      </c>
      <c r="BQ12" s="49">
        <f t="shared" si="25"/>
        <v>0</v>
      </c>
      <c r="BR12" s="51">
        <f t="shared" si="26"/>
        <v>0</v>
      </c>
    </row>
    <row r="13" spans="1:70" x14ac:dyDescent="0.15">
      <c r="A13" s="31" t="s">
        <v>16</v>
      </c>
      <c r="B13" s="159">
        <f>概算シート!G14</f>
        <v>0</v>
      </c>
      <c r="C13" s="37">
        <f t="shared" si="67"/>
        <v>0</v>
      </c>
      <c r="D13" s="36">
        <f t="shared" si="27"/>
        <v>0</v>
      </c>
      <c r="E13" s="23">
        <f t="shared" si="28"/>
        <v>0</v>
      </c>
      <c r="F13" s="23">
        <f t="shared" si="29"/>
        <v>0</v>
      </c>
      <c r="G13" s="23">
        <f t="shared" si="30"/>
        <v>0</v>
      </c>
      <c r="H13" s="23">
        <f t="shared" si="31"/>
        <v>0</v>
      </c>
      <c r="I13" s="23">
        <f t="shared" si="32"/>
        <v>0</v>
      </c>
      <c r="J13" s="23">
        <f t="shared" si="33"/>
        <v>0</v>
      </c>
      <c r="K13" s="23">
        <f t="shared" si="34"/>
        <v>0</v>
      </c>
      <c r="L13" s="23">
        <f t="shared" si="35"/>
        <v>0</v>
      </c>
      <c r="M13" s="23">
        <f t="shared" si="52"/>
        <v>0</v>
      </c>
      <c r="N13" s="23">
        <f t="shared" si="36"/>
        <v>0</v>
      </c>
      <c r="O13" s="23">
        <f t="shared" si="1"/>
        <v>0</v>
      </c>
      <c r="P13" s="14"/>
      <c r="Q13" s="31" t="s">
        <v>16</v>
      </c>
      <c r="R13" s="160">
        <f>概算シート!I14</f>
        <v>0</v>
      </c>
      <c r="S13" s="161">
        <f>C13+概算シート!K14</f>
        <v>0</v>
      </c>
      <c r="T13" s="160">
        <f t="shared" si="3"/>
        <v>1</v>
      </c>
      <c r="U13" s="24">
        <f t="shared" si="68"/>
        <v>0</v>
      </c>
      <c r="V13" s="25">
        <v>0</v>
      </c>
      <c r="W13" s="26">
        <f t="shared" si="53"/>
        <v>0</v>
      </c>
      <c r="X13" s="26">
        <f t="shared" si="54"/>
        <v>0</v>
      </c>
      <c r="Y13" s="26">
        <f t="shared" si="55"/>
        <v>0</v>
      </c>
      <c r="Z13" s="26">
        <f t="shared" si="56"/>
        <v>0</v>
      </c>
      <c r="AA13" s="27">
        <f t="shared" si="57"/>
        <v>0</v>
      </c>
      <c r="AB13" s="25">
        <v>0</v>
      </c>
      <c r="AC13" s="26">
        <f t="shared" si="58"/>
        <v>0</v>
      </c>
      <c r="AD13" s="26">
        <f t="shared" si="59"/>
        <v>0</v>
      </c>
      <c r="AE13" s="26">
        <f t="shared" si="60"/>
        <v>0</v>
      </c>
      <c r="AF13" s="26">
        <f t="shared" si="61"/>
        <v>0</v>
      </c>
      <c r="AG13" s="27">
        <f t="shared" si="62"/>
        <v>0</v>
      </c>
      <c r="AH13" s="25">
        <v>0</v>
      </c>
      <c r="AI13" s="26">
        <f t="shared" si="37"/>
        <v>0</v>
      </c>
      <c r="AJ13" s="26">
        <f t="shared" si="38"/>
        <v>0</v>
      </c>
      <c r="AK13" s="26">
        <f t="shared" si="39"/>
        <v>0</v>
      </c>
      <c r="AL13" s="26">
        <f t="shared" si="40"/>
        <v>0</v>
      </c>
      <c r="AM13" s="27">
        <f t="shared" si="41"/>
        <v>0</v>
      </c>
      <c r="AN13" s="28">
        <f t="shared" si="14"/>
        <v>0</v>
      </c>
      <c r="AO13" s="29">
        <f t="shared" si="69"/>
        <v>0</v>
      </c>
      <c r="AP13" s="30">
        <v>0</v>
      </c>
      <c r="AQ13" s="31">
        <f t="shared" si="42"/>
        <v>0</v>
      </c>
      <c r="AR13" s="31">
        <f t="shared" si="43"/>
        <v>0</v>
      </c>
      <c r="AS13" s="31">
        <f t="shared" si="44"/>
        <v>0</v>
      </c>
      <c r="AT13" s="31">
        <f t="shared" si="45"/>
        <v>0</v>
      </c>
      <c r="AU13" s="32">
        <f t="shared" si="46"/>
        <v>0</v>
      </c>
      <c r="AV13" s="30">
        <v>0</v>
      </c>
      <c r="AW13" s="31">
        <f t="shared" si="63"/>
        <v>0</v>
      </c>
      <c r="AX13" s="31">
        <f t="shared" si="64"/>
        <v>0</v>
      </c>
      <c r="AY13" s="31">
        <f t="shared" si="65"/>
        <v>0</v>
      </c>
      <c r="AZ13" s="31">
        <f t="shared" si="66"/>
        <v>0</v>
      </c>
      <c r="BA13" s="32">
        <f t="shared" si="19"/>
        <v>0</v>
      </c>
      <c r="BB13" s="30">
        <v>0</v>
      </c>
      <c r="BC13" s="31">
        <f t="shared" si="47"/>
        <v>0</v>
      </c>
      <c r="BD13" s="31">
        <f t="shared" si="48"/>
        <v>0</v>
      </c>
      <c r="BE13" s="31">
        <f t="shared" si="49"/>
        <v>0</v>
      </c>
      <c r="BF13" s="31">
        <f t="shared" si="50"/>
        <v>0</v>
      </c>
      <c r="BG13" s="32">
        <f t="shared" si="51"/>
        <v>0</v>
      </c>
      <c r="BH13" s="33">
        <f t="shared" si="70"/>
        <v>0</v>
      </c>
      <c r="BJ13" s="31" t="s">
        <v>16</v>
      </c>
      <c r="BK13" s="49">
        <f t="shared" si="21"/>
        <v>0</v>
      </c>
      <c r="BL13" s="49">
        <f t="shared" si="22"/>
        <v>0</v>
      </c>
      <c r="BM13" s="49">
        <f t="shared" si="23"/>
        <v>0</v>
      </c>
      <c r="BN13" s="49">
        <f t="shared" si="24"/>
        <v>0</v>
      </c>
      <c r="BP13" s="50">
        <f>税率!C50</f>
        <v>0</v>
      </c>
      <c r="BQ13" s="49">
        <f t="shared" si="25"/>
        <v>0</v>
      </c>
      <c r="BR13" s="51">
        <f t="shared" si="26"/>
        <v>0</v>
      </c>
    </row>
    <row r="14" spans="1:70" x14ac:dyDescent="0.15">
      <c r="A14" s="31" t="s">
        <v>17</v>
      </c>
      <c r="B14" s="159">
        <f>概算シート!G15</f>
        <v>0</v>
      </c>
      <c r="C14" s="37">
        <f t="shared" si="67"/>
        <v>0</v>
      </c>
      <c r="D14" s="36">
        <f t="shared" si="27"/>
        <v>0</v>
      </c>
      <c r="E14" s="23">
        <f t="shared" si="28"/>
        <v>0</v>
      </c>
      <c r="F14" s="23">
        <f t="shared" si="29"/>
        <v>0</v>
      </c>
      <c r="G14" s="23">
        <f t="shared" si="30"/>
        <v>0</v>
      </c>
      <c r="H14" s="23">
        <f t="shared" si="31"/>
        <v>0</v>
      </c>
      <c r="I14" s="23">
        <f t="shared" si="32"/>
        <v>0</v>
      </c>
      <c r="J14" s="23">
        <f t="shared" si="33"/>
        <v>0</v>
      </c>
      <c r="K14" s="23">
        <f t="shared" si="34"/>
        <v>0</v>
      </c>
      <c r="L14" s="23">
        <f t="shared" si="35"/>
        <v>0</v>
      </c>
      <c r="M14" s="23">
        <f t="shared" si="52"/>
        <v>0</v>
      </c>
      <c r="N14" s="23">
        <f t="shared" si="36"/>
        <v>0</v>
      </c>
      <c r="O14" s="23">
        <f t="shared" si="1"/>
        <v>0</v>
      </c>
      <c r="P14" s="14"/>
      <c r="Q14" s="31" t="s">
        <v>17</v>
      </c>
      <c r="R14" s="160">
        <f>概算シート!I15</f>
        <v>0</v>
      </c>
      <c r="S14" s="161">
        <f>C14+概算シート!K15</f>
        <v>0</v>
      </c>
      <c r="T14" s="160">
        <f t="shared" si="3"/>
        <v>1</v>
      </c>
      <c r="U14" s="24">
        <f t="shared" si="68"/>
        <v>0</v>
      </c>
      <c r="V14" s="25">
        <v>0</v>
      </c>
      <c r="W14" s="26">
        <f t="shared" si="53"/>
        <v>0</v>
      </c>
      <c r="X14" s="26">
        <f t="shared" si="54"/>
        <v>0</v>
      </c>
      <c r="Y14" s="26">
        <f t="shared" si="55"/>
        <v>0</v>
      </c>
      <c r="Z14" s="26">
        <f t="shared" si="56"/>
        <v>0</v>
      </c>
      <c r="AA14" s="27">
        <f t="shared" si="57"/>
        <v>0</v>
      </c>
      <c r="AB14" s="25">
        <v>0</v>
      </c>
      <c r="AC14" s="26">
        <f t="shared" si="58"/>
        <v>0</v>
      </c>
      <c r="AD14" s="26">
        <f t="shared" si="59"/>
        <v>0</v>
      </c>
      <c r="AE14" s="26">
        <f t="shared" si="60"/>
        <v>0</v>
      </c>
      <c r="AF14" s="26">
        <f t="shared" si="61"/>
        <v>0</v>
      </c>
      <c r="AG14" s="27">
        <f t="shared" si="62"/>
        <v>0</v>
      </c>
      <c r="AH14" s="25">
        <v>0</v>
      </c>
      <c r="AI14" s="26">
        <f t="shared" si="37"/>
        <v>0</v>
      </c>
      <c r="AJ14" s="26">
        <f t="shared" si="38"/>
        <v>0</v>
      </c>
      <c r="AK14" s="26">
        <f t="shared" si="39"/>
        <v>0</v>
      </c>
      <c r="AL14" s="26">
        <f t="shared" si="40"/>
        <v>0</v>
      </c>
      <c r="AM14" s="27">
        <f t="shared" si="41"/>
        <v>0</v>
      </c>
      <c r="AN14" s="28">
        <f t="shared" si="14"/>
        <v>0</v>
      </c>
      <c r="AO14" s="29">
        <f t="shared" si="69"/>
        <v>0</v>
      </c>
      <c r="AP14" s="30">
        <v>0</v>
      </c>
      <c r="AQ14" s="31">
        <f t="shared" si="42"/>
        <v>0</v>
      </c>
      <c r="AR14" s="31">
        <f t="shared" si="43"/>
        <v>0</v>
      </c>
      <c r="AS14" s="31">
        <f t="shared" si="44"/>
        <v>0</v>
      </c>
      <c r="AT14" s="31">
        <f t="shared" si="45"/>
        <v>0</v>
      </c>
      <c r="AU14" s="32">
        <f t="shared" si="46"/>
        <v>0</v>
      </c>
      <c r="AV14" s="30">
        <v>0</v>
      </c>
      <c r="AW14" s="31">
        <f t="shared" si="63"/>
        <v>0</v>
      </c>
      <c r="AX14" s="31">
        <f t="shared" si="64"/>
        <v>0</v>
      </c>
      <c r="AY14" s="31">
        <f t="shared" si="65"/>
        <v>0</v>
      </c>
      <c r="AZ14" s="31">
        <f t="shared" si="66"/>
        <v>0</v>
      </c>
      <c r="BA14" s="32">
        <f t="shared" si="19"/>
        <v>0</v>
      </c>
      <c r="BB14" s="30">
        <v>0</v>
      </c>
      <c r="BC14" s="31">
        <f t="shared" si="47"/>
        <v>0</v>
      </c>
      <c r="BD14" s="31">
        <f t="shared" si="48"/>
        <v>0</v>
      </c>
      <c r="BE14" s="31">
        <f t="shared" si="49"/>
        <v>0</v>
      </c>
      <c r="BF14" s="31">
        <f t="shared" si="50"/>
        <v>0</v>
      </c>
      <c r="BG14" s="32">
        <f t="shared" si="51"/>
        <v>0</v>
      </c>
      <c r="BH14" s="33">
        <f t="shared" si="70"/>
        <v>0</v>
      </c>
      <c r="BJ14" s="31" t="s">
        <v>17</v>
      </c>
      <c r="BK14" s="49">
        <f t="shared" si="21"/>
        <v>0</v>
      </c>
      <c r="BL14" s="49">
        <f t="shared" si="22"/>
        <v>0</v>
      </c>
      <c r="BM14" s="49">
        <f t="shared" si="23"/>
        <v>0</v>
      </c>
      <c r="BN14" s="49">
        <f t="shared" si="24"/>
        <v>0</v>
      </c>
      <c r="BP14" s="50">
        <f>税率!C51</f>
        <v>0</v>
      </c>
      <c r="BQ14" s="49">
        <f t="shared" si="25"/>
        <v>0</v>
      </c>
      <c r="BR14" s="51">
        <f t="shared" si="26"/>
        <v>0</v>
      </c>
    </row>
  </sheetData>
  <sheetProtection formatCells="0" selectLockedCells="1"/>
  <mergeCells count="16">
    <mergeCell ref="BP2:BP4"/>
    <mergeCell ref="BQ2:BQ4"/>
    <mergeCell ref="BR2:BR4"/>
    <mergeCell ref="A3:A4"/>
    <mergeCell ref="B3:B4"/>
    <mergeCell ref="C3:C4"/>
    <mergeCell ref="O3:O4"/>
    <mergeCell ref="Q3:Q4"/>
    <mergeCell ref="AN3:AN4"/>
    <mergeCell ref="BH3:BH4"/>
    <mergeCell ref="BJ3:BJ4"/>
    <mergeCell ref="B2:C2"/>
    <mergeCell ref="R2:AO2"/>
    <mergeCell ref="R3:R4"/>
    <mergeCell ref="S3:S4"/>
    <mergeCell ref="BJ2:BN2"/>
  </mergeCells>
  <phoneticPr fontId="5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"/>
  <sheetViews>
    <sheetView workbookViewId="0">
      <selection activeCell="K3" sqref="K3"/>
    </sheetView>
  </sheetViews>
  <sheetFormatPr defaultColWidth="9" defaultRowHeight="13.5" x14ac:dyDescent="0.15"/>
  <cols>
    <col min="1" max="1" width="7.5" style="12" bestFit="1" customWidth="1"/>
    <col min="2" max="3" width="11.625" style="12" bestFit="1" customWidth="1"/>
    <col min="4" max="4" width="9" style="12" hidden="1" customWidth="1"/>
    <col min="5" max="12" width="10.5" style="12" hidden="1" customWidth="1"/>
    <col min="13" max="14" width="11.625" style="12" hidden="1" customWidth="1"/>
    <col min="15" max="15" width="11.875" style="12" hidden="1" customWidth="1"/>
    <col min="16" max="16" width="1.75" style="12" customWidth="1"/>
    <col min="17" max="17" width="7.5" style="12" bestFit="1" customWidth="1"/>
    <col min="18" max="18" width="12.875" style="12" customWidth="1"/>
    <col min="19" max="19" width="15.75" style="12" customWidth="1"/>
    <col min="20" max="20" width="5.875" style="12" hidden="1" customWidth="1"/>
    <col min="21" max="21" width="13.125" style="12" customWidth="1"/>
    <col min="22" max="25" width="10.5" style="12" hidden="1" customWidth="1"/>
    <col min="26" max="27" width="11.625" style="12" hidden="1" customWidth="1"/>
    <col min="28" max="31" width="10.5" style="12" hidden="1" customWidth="1"/>
    <col min="32" max="33" width="11.625" style="12" hidden="1" customWidth="1"/>
    <col min="34" max="37" width="10.5" style="12" hidden="1" customWidth="1"/>
    <col min="38" max="39" width="11.625" style="12" hidden="1" customWidth="1"/>
    <col min="40" max="40" width="10.5" style="12" hidden="1" customWidth="1"/>
    <col min="41" max="41" width="13.125" style="12" bestFit="1" customWidth="1"/>
    <col min="42" max="45" width="9.875" style="12" hidden="1" customWidth="1"/>
    <col min="46" max="47" width="11.625" style="12" hidden="1" customWidth="1"/>
    <col min="48" max="51" width="9.875" style="12" hidden="1" customWidth="1"/>
    <col min="52" max="53" width="11.625" style="12" hidden="1" customWidth="1"/>
    <col min="54" max="57" width="9.875" style="12" hidden="1" customWidth="1"/>
    <col min="58" max="59" width="11.625" style="12" hidden="1" customWidth="1"/>
    <col min="60" max="60" width="9.875" style="12" hidden="1" customWidth="1"/>
    <col min="61" max="61" width="2.75" style="12" customWidth="1"/>
    <col min="62" max="62" width="7.5" style="12" bestFit="1" customWidth="1"/>
    <col min="63" max="63" width="11.25" style="12" hidden="1" customWidth="1"/>
    <col min="64" max="64" width="11.25" style="12" customWidth="1"/>
    <col min="65" max="65" width="11.25" style="12" hidden="1" customWidth="1"/>
    <col min="66" max="66" width="11.25" style="12" customWidth="1"/>
    <col min="67" max="67" width="2.875" style="12" customWidth="1"/>
    <col min="68" max="68" width="5.5" style="12" bestFit="1" customWidth="1"/>
    <col min="69" max="69" width="12.625" style="12" customWidth="1"/>
    <col min="70" max="70" width="12.625" style="12" hidden="1" customWidth="1"/>
    <col min="71" max="16384" width="9" style="12"/>
  </cols>
  <sheetData>
    <row r="1" spans="1:70" ht="14.25" thickBot="1" x14ac:dyDescent="0.2">
      <c r="R1" s="12">
        <v>18</v>
      </c>
      <c r="U1" s="12">
        <v>21</v>
      </c>
      <c r="AO1" s="12">
        <v>41</v>
      </c>
      <c r="AP1" s="12">
        <v>42</v>
      </c>
      <c r="AQ1" s="12">
        <v>43</v>
      </c>
      <c r="AR1" s="12">
        <v>44</v>
      </c>
      <c r="AS1" s="12">
        <v>45</v>
      </c>
      <c r="AT1" s="12">
        <v>46</v>
      </c>
      <c r="AU1" s="12">
        <v>47</v>
      </c>
      <c r="AV1" s="12">
        <v>48</v>
      </c>
      <c r="AW1" s="12">
        <v>49</v>
      </c>
      <c r="AX1" s="12">
        <v>50</v>
      </c>
      <c r="AY1" s="12">
        <v>51</v>
      </c>
      <c r="AZ1" s="12">
        <v>52</v>
      </c>
      <c r="BA1" s="12">
        <v>53</v>
      </c>
      <c r="BB1" s="12">
        <v>54</v>
      </c>
      <c r="BC1" s="12">
        <v>55</v>
      </c>
      <c r="BD1" s="12">
        <v>56</v>
      </c>
      <c r="BE1" s="12">
        <v>57</v>
      </c>
      <c r="BF1" s="12">
        <v>58</v>
      </c>
      <c r="BG1" s="12">
        <v>59</v>
      </c>
      <c r="BH1" s="12">
        <v>60</v>
      </c>
      <c r="BI1" s="12">
        <v>61</v>
      </c>
      <c r="BJ1" s="12">
        <v>62</v>
      </c>
      <c r="BK1" s="12">
        <v>63</v>
      </c>
    </row>
    <row r="2" spans="1:70" ht="14.25" thickBot="1" x14ac:dyDescent="0.2">
      <c r="A2" s="13"/>
      <c r="B2" s="295" t="s">
        <v>32</v>
      </c>
      <c r="C2" s="296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38"/>
      <c r="R2" s="295" t="s">
        <v>33</v>
      </c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6"/>
      <c r="BJ2" s="299" t="s">
        <v>34</v>
      </c>
      <c r="BK2" s="299"/>
      <c r="BL2" s="299"/>
      <c r="BM2" s="299"/>
      <c r="BN2" s="299"/>
      <c r="BP2" s="276" t="s">
        <v>50</v>
      </c>
      <c r="BQ2" s="279" t="s">
        <v>51</v>
      </c>
      <c r="BR2" s="282" t="s">
        <v>52</v>
      </c>
    </row>
    <row r="3" spans="1:70" x14ac:dyDescent="0.15">
      <c r="A3" s="285" t="s">
        <v>35</v>
      </c>
      <c r="B3" s="287" t="s">
        <v>36</v>
      </c>
      <c r="C3" s="289" t="s">
        <v>37</v>
      </c>
      <c r="D3" s="34">
        <v>551000</v>
      </c>
      <c r="E3" s="15">
        <v>1619000</v>
      </c>
      <c r="F3" s="15">
        <v>1620000</v>
      </c>
      <c r="G3" s="15">
        <v>1622000</v>
      </c>
      <c r="H3" s="15">
        <v>1624000</v>
      </c>
      <c r="I3" s="15">
        <v>1628000</v>
      </c>
      <c r="J3" s="15">
        <v>1800000</v>
      </c>
      <c r="K3" s="15">
        <v>3600000</v>
      </c>
      <c r="L3" s="15">
        <v>6600000</v>
      </c>
      <c r="M3" s="15">
        <v>8500000</v>
      </c>
      <c r="N3" s="15">
        <v>8500000</v>
      </c>
      <c r="O3" s="291" t="s">
        <v>38</v>
      </c>
      <c r="P3" s="14"/>
      <c r="Q3" s="285" t="s">
        <v>35</v>
      </c>
      <c r="R3" s="288" t="s">
        <v>36</v>
      </c>
      <c r="S3" s="298" t="s">
        <v>39</v>
      </c>
      <c r="T3" s="155"/>
      <c r="U3" s="40" t="s">
        <v>40</v>
      </c>
      <c r="V3" s="41">
        <v>600000</v>
      </c>
      <c r="W3" s="42">
        <v>1300000</v>
      </c>
      <c r="X3" s="42">
        <v>4100000</v>
      </c>
      <c r="Y3" s="42">
        <v>7700000</v>
      </c>
      <c r="Z3" s="42">
        <v>10000000</v>
      </c>
      <c r="AA3" s="43">
        <v>10000000</v>
      </c>
      <c r="AB3" s="41">
        <v>500000</v>
      </c>
      <c r="AC3" s="42">
        <v>1300000</v>
      </c>
      <c r="AD3" s="42">
        <v>4100000</v>
      </c>
      <c r="AE3" s="42">
        <v>7700000</v>
      </c>
      <c r="AF3" s="42">
        <v>10000000</v>
      </c>
      <c r="AG3" s="43">
        <v>10000000</v>
      </c>
      <c r="AH3" s="41">
        <v>400000</v>
      </c>
      <c r="AI3" s="42">
        <v>1300000</v>
      </c>
      <c r="AJ3" s="42">
        <v>4100000</v>
      </c>
      <c r="AK3" s="42">
        <v>7700000</v>
      </c>
      <c r="AL3" s="42">
        <v>10000000</v>
      </c>
      <c r="AM3" s="43">
        <v>10000000</v>
      </c>
      <c r="AN3" s="293" t="s">
        <v>38</v>
      </c>
      <c r="AO3" s="46" t="s">
        <v>42</v>
      </c>
      <c r="AP3" s="16">
        <v>1100000</v>
      </c>
      <c r="AQ3" s="17">
        <v>3300000</v>
      </c>
      <c r="AR3" s="17">
        <v>4100000</v>
      </c>
      <c r="AS3" s="17">
        <v>7700000</v>
      </c>
      <c r="AT3" s="17">
        <v>10000000</v>
      </c>
      <c r="AU3" s="18">
        <v>10000000</v>
      </c>
      <c r="AV3" s="16">
        <v>1000000</v>
      </c>
      <c r="AW3" s="17">
        <v>3300000</v>
      </c>
      <c r="AX3" s="17">
        <v>4100000</v>
      </c>
      <c r="AY3" s="17">
        <v>7700000</v>
      </c>
      <c r="AZ3" s="17">
        <v>10000000</v>
      </c>
      <c r="BA3" s="18">
        <v>10000000</v>
      </c>
      <c r="BB3" s="16">
        <v>900000</v>
      </c>
      <c r="BC3" s="17">
        <v>3300000</v>
      </c>
      <c r="BD3" s="17">
        <v>4100000</v>
      </c>
      <c r="BE3" s="17">
        <v>7700000</v>
      </c>
      <c r="BF3" s="17">
        <v>10000000</v>
      </c>
      <c r="BG3" s="18">
        <v>10000000</v>
      </c>
      <c r="BH3" s="293" t="s">
        <v>38</v>
      </c>
      <c r="BJ3" s="285" t="s">
        <v>35</v>
      </c>
      <c r="BK3" s="47" t="s">
        <v>49</v>
      </c>
      <c r="BL3" s="47" t="s">
        <v>49</v>
      </c>
      <c r="BM3" s="48" t="s">
        <v>42</v>
      </c>
      <c r="BN3" s="48" t="s">
        <v>42</v>
      </c>
      <c r="BP3" s="277"/>
      <c r="BQ3" s="280"/>
      <c r="BR3" s="283"/>
    </row>
    <row r="4" spans="1:70" x14ac:dyDescent="0.15">
      <c r="A4" s="286"/>
      <c r="B4" s="288"/>
      <c r="C4" s="290"/>
      <c r="D4" s="35" t="s">
        <v>43</v>
      </c>
      <c r="E4" s="19" t="s">
        <v>43</v>
      </c>
      <c r="F4" s="19" t="s">
        <v>43</v>
      </c>
      <c r="G4" s="19" t="s">
        <v>43</v>
      </c>
      <c r="H4" s="19" t="s">
        <v>43</v>
      </c>
      <c r="I4" s="19" t="s">
        <v>43</v>
      </c>
      <c r="J4" s="19" t="s">
        <v>43</v>
      </c>
      <c r="K4" s="19" t="s">
        <v>43</v>
      </c>
      <c r="L4" s="19" t="s">
        <v>43</v>
      </c>
      <c r="M4" s="19" t="s">
        <v>43</v>
      </c>
      <c r="N4" s="19" t="s">
        <v>44</v>
      </c>
      <c r="O4" s="292"/>
      <c r="P4" s="14"/>
      <c r="Q4" s="286"/>
      <c r="R4" s="288"/>
      <c r="S4" s="298"/>
      <c r="T4" s="155"/>
      <c r="U4" s="40" t="s">
        <v>37</v>
      </c>
      <c r="V4" s="44" t="s">
        <v>43</v>
      </c>
      <c r="W4" s="39" t="s">
        <v>43</v>
      </c>
      <c r="X4" s="39" t="s">
        <v>43</v>
      </c>
      <c r="Y4" s="39" t="s">
        <v>43</v>
      </c>
      <c r="Z4" s="39" t="s">
        <v>43</v>
      </c>
      <c r="AA4" s="45" t="s">
        <v>44</v>
      </c>
      <c r="AB4" s="44" t="s">
        <v>43</v>
      </c>
      <c r="AC4" s="39" t="s">
        <v>43</v>
      </c>
      <c r="AD4" s="39" t="s">
        <v>43</v>
      </c>
      <c r="AE4" s="39" t="s">
        <v>43</v>
      </c>
      <c r="AF4" s="39" t="s">
        <v>43</v>
      </c>
      <c r="AG4" s="45" t="s">
        <v>44</v>
      </c>
      <c r="AH4" s="44" t="s">
        <v>43</v>
      </c>
      <c r="AI4" s="39" t="s">
        <v>43</v>
      </c>
      <c r="AJ4" s="39" t="s">
        <v>43</v>
      </c>
      <c r="AK4" s="39" t="s">
        <v>43</v>
      </c>
      <c r="AL4" s="39" t="s">
        <v>43</v>
      </c>
      <c r="AM4" s="45" t="s">
        <v>44</v>
      </c>
      <c r="AN4" s="294"/>
      <c r="AO4" s="46" t="s">
        <v>45</v>
      </c>
      <c r="AP4" s="20" t="s">
        <v>43</v>
      </c>
      <c r="AQ4" s="21" t="s">
        <v>43</v>
      </c>
      <c r="AR4" s="21" t="s">
        <v>43</v>
      </c>
      <c r="AS4" s="21" t="s">
        <v>43</v>
      </c>
      <c r="AT4" s="21" t="s">
        <v>43</v>
      </c>
      <c r="AU4" s="22" t="s">
        <v>44</v>
      </c>
      <c r="AV4" s="20" t="s">
        <v>43</v>
      </c>
      <c r="AW4" s="21" t="s">
        <v>43</v>
      </c>
      <c r="AX4" s="21" t="s">
        <v>43</v>
      </c>
      <c r="AY4" s="21" t="s">
        <v>43</v>
      </c>
      <c r="AZ4" s="21" t="s">
        <v>43</v>
      </c>
      <c r="BA4" s="22" t="s">
        <v>44</v>
      </c>
      <c r="BB4" s="20" t="s">
        <v>43</v>
      </c>
      <c r="BC4" s="21" t="s">
        <v>43</v>
      </c>
      <c r="BD4" s="21" t="s">
        <v>43</v>
      </c>
      <c r="BE4" s="21" t="s">
        <v>43</v>
      </c>
      <c r="BF4" s="21" t="s">
        <v>43</v>
      </c>
      <c r="BG4" s="22" t="s">
        <v>44</v>
      </c>
      <c r="BH4" s="294"/>
      <c r="BJ4" s="286"/>
      <c r="BK4" s="154"/>
      <c r="BL4" s="154" t="s">
        <v>47</v>
      </c>
      <c r="BM4" s="154"/>
      <c r="BN4" s="154" t="s">
        <v>48</v>
      </c>
      <c r="BP4" s="278"/>
      <c r="BQ4" s="281"/>
      <c r="BR4" s="284"/>
    </row>
    <row r="5" spans="1:70" x14ac:dyDescent="0.15">
      <c r="A5" s="31" t="s">
        <v>46</v>
      </c>
      <c r="B5" s="159">
        <f>概算シート!G6</f>
        <v>0</v>
      </c>
      <c r="C5" s="37">
        <f>IF($B5&gt;0,$O5,0)</f>
        <v>0</v>
      </c>
      <c r="D5" s="36">
        <f t="shared" ref="D5:D14" si="0">IF(B5&lt;D$3,0,0)</f>
        <v>0</v>
      </c>
      <c r="E5" s="23">
        <f>IF(B5&lt;E$3,IF(B5&lt;D$3,0,B5-550000),0)</f>
        <v>0</v>
      </c>
      <c r="F5" s="23">
        <f>IF(B5&lt;F$3,IF(B5&lt;E$3,0,1069000),0)</f>
        <v>0</v>
      </c>
      <c r="G5" s="23">
        <f>IF(B5&lt;G$3,IF(B5&lt;F$3,0,1070000),0)</f>
        <v>0</v>
      </c>
      <c r="H5" s="23">
        <f>IF(B5&lt;H$3,IF(B5&lt;G$3,0,1072000),0)</f>
        <v>0</v>
      </c>
      <c r="I5" s="23">
        <f>IF(B5&lt;I$3,IF(B5&lt;H$3,0,1074000),0)</f>
        <v>0</v>
      </c>
      <c r="J5" s="23">
        <f>IF(B5&lt;J$3,IF(B5&lt;I$3,0,(TRUNC(B5/4000)*2.4)*1000+100000),0)</f>
        <v>0</v>
      </c>
      <c r="K5" s="23">
        <f>IF(B5&lt;K$3,IF(B5&lt;J$3,0,(TRUNC(B5/4000)*2.8-180)*1000+100000),0)</f>
        <v>0</v>
      </c>
      <c r="L5" s="23">
        <f>IF(B5&lt;L$3,IF(B5&lt;K$3,0,(TRUNC(B5/4000)*3.2-540)*1000+100000),0)</f>
        <v>0</v>
      </c>
      <c r="M5" s="23">
        <f>IF(B5&lt;M$3,IF(B5&lt;L$3,0,TRUNC(B5-1760000-((B5-6600000)*0.1))),0)</f>
        <v>0</v>
      </c>
      <c r="N5" s="23">
        <f>IF(B5&lt;M$3,0,TRUNC(B5-1950000))</f>
        <v>0</v>
      </c>
      <c r="O5" s="23">
        <f t="shared" ref="O5:O14" si="1">SUM(D5:N5)</f>
        <v>0</v>
      </c>
      <c r="P5" s="14"/>
      <c r="Q5" s="31" t="s">
        <v>46</v>
      </c>
      <c r="R5" s="160" t="s">
        <v>57</v>
      </c>
      <c r="S5" s="161" t="s">
        <v>57</v>
      </c>
      <c r="T5" s="160" t="s">
        <v>60</v>
      </c>
      <c r="U5" s="24" t="s">
        <v>57</v>
      </c>
      <c r="V5" s="25">
        <v>0</v>
      </c>
      <c r="W5" s="26">
        <f>IF($T5=1,IF($R5&lt;W$3,IF($R5&lt;V$3,0,$R5-600000),0),0)</f>
        <v>0</v>
      </c>
      <c r="X5" s="26">
        <f>IF($T5=1,IF($R5&lt;X$3,IF($R5&lt;W$3,0,TRUNC($R5*0.75-275000)),0),0)</f>
        <v>0</v>
      </c>
      <c r="Y5" s="26">
        <f>IF($T5=1,IF($R5&lt;Y$3,IF($R5&lt;X$3,0,TRUNC($R5*0.85-685000)),0),0)</f>
        <v>0</v>
      </c>
      <c r="Z5" s="26">
        <f>IF($T5=1,IF($R5&lt;Z$3,IF($R5&lt;Y$3,0,TRUNC($R5*0.95-1455000)),0),0)</f>
        <v>0</v>
      </c>
      <c r="AA5" s="27">
        <f>IF($T5=1,IF($R5&gt;Z$3-1,$R5-1955000,0),0)</f>
        <v>0</v>
      </c>
      <c r="AB5" s="25">
        <v>0</v>
      </c>
      <c r="AC5" s="26">
        <f>IF($T5=2,IF($R5&lt;AC$3,IF($R5&lt;AB$3,0,$R5-500000),0),0)</f>
        <v>0</v>
      </c>
      <c r="AD5" s="26">
        <f>IF($T5=2,IF($R5&lt;AD$3,IF($R5&lt;AC$3,0,TRUNC($R5*0.75-175000)),0),0)</f>
        <v>0</v>
      </c>
      <c r="AE5" s="26">
        <f>IF($T5=2,IF($R5&lt;AE$3,IF($R5&lt;AD$3,0,TRUNC($R5*0.85-585000)),0),0)</f>
        <v>0</v>
      </c>
      <c r="AF5" s="26">
        <f>IF($T5=2,IF($R5&lt;AF$3,IF($R5&lt;AE$3,0,TRUNC($R5*0.95-1355000)),0),0)</f>
        <v>0</v>
      </c>
      <c r="AG5" s="27">
        <f>IF($T5=2,IF($R5&gt;AF$3-1,$R5-1855000,0),0)</f>
        <v>0</v>
      </c>
      <c r="AH5" s="25">
        <v>0</v>
      </c>
      <c r="AI5" s="26">
        <f>IF($T5=3,IF($R5&lt;AI$3,IF($R5&lt;AH$3,0,$R5-400000),0),0)</f>
        <v>0</v>
      </c>
      <c r="AJ5" s="26">
        <f>IF($T5=3,IF($R5&lt;AJ$3,IF($R5&lt;AI$3,0,TRUNC($R5*0.75-75000)),0),0)</f>
        <v>0</v>
      </c>
      <c r="AK5" s="26">
        <f>IF($T5=3,IF($R5&lt;AK$3,IF($R5&lt;AJ$3,0,TRUNC($R5*0.85-485000)),0),0)</f>
        <v>0</v>
      </c>
      <c r="AL5" s="26">
        <f>IF($T5=3,IF($R5&lt;AL$3,IF($R5&lt;AK$3,0,TRUNC($R5*0.95-1255000)),0),0)</f>
        <v>0</v>
      </c>
      <c r="AM5" s="27">
        <f>IF($T5=3,IF($R5&gt;AL$3-1,$R5-1755000,0),0)</f>
        <v>0</v>
      </c>
      <c r="AN5" s="28">
        <f>SUM(V5:AM5)</f>
        <v>0</v>
      </c>
      <c r="AO5" s="29">
        <f>税率!D42</f>
        <v>0</v>
      </c>
      <c r="AP5" s="30">
        <v>0</v>
      </c>
      <c r="AQ5" s="31">
        <f>IF($T5=1,IF($R5&lt;AQ$3,IF($R5&lt;AP$3,0,$R5-1100000),0),0)</f>
        <v>0</v>
      </c>
      <c r="AR5" s="31">
        <f>IF($T5=1,IF($R5&lt;AR$3,IF($R5&lt;AQ$3,0,TRUNC($R5*0.75-275000)),0),0)</f>
        <v>0</v>
      </c>
      <c r="AS5" s="31">
        <f>IF($T5=1,IF($R5&lt;AS$3,IF($R5&lt;AR$3,0,TRUNC($R5*0.85-685000)),0),0)</f>
        <v>0</v>
      </c>
      <c r="AT5" s="31">
        <f>IF($T5=1,IF($R5&lt;AT$3,IF($R5&lt;AS$3,0,TRUNC($R5*0.95-1455000)),0),0)</f>
        <v>0</v>
      </c>
      <c r="AU5" s="32">
        <f>IF($T5=1,IF($R5&gt;AU$3-1,$R5-1955000,0),0)</f>
        <v>0</v>
      </c>
      <c r="AV5" s="30">
        <v>0</v>
      </c>
      <c r="AW5" s="31">
        <f>IF($T5=2,IF($R5&lt;AW$3,IF($R5&lt;AV$3,0,$R5-1000000),0),0)</f>
        <v>0</v>
      </c>
      <c r="AX5" s="31">
        <f>IF($T5=2,IF($R5&lt;AX$3,IF($R5&lt;AW$3,0,TRUNC($R5*0.75-175000)),0),0)</f>
        <v>0</v>
      </c>
      <c r="AY5" s="31">
        <f>IF($T5=2,IF($R5&lt;AY$3,IF($R5&lt;AX$3,0,TRUNC($R5*0.85-585000)),0),0)</f>
        <v>0</v>
      </c>
      <c r="AZ5" s="31">
        <f>IF($T5=2,IF($R5&lt;AZ$3,IF($R5&lt;AY$3,0,TRUNC($R5*0.95-1355000)),0),0)</f>
        <v>0</v>
      </c>
      <c r="BA5" s="32">
        <f>IF($T5=2,IF($R5&gt;BA$3-1,$R5-1855000,0),0)</f>
        <v>0</v>
      </c>
      <c r="BB5" s="30">
        <v>0</v>
      </c>
      <c r="BC5" s="31">
        <f>IF($T5=3,IF($R5&lt;BC$3,IF($R5&lt;BB$3,0,$R5-900000),0),0)</f>
        <v>0</v>
      </c>
      <c r="BD5" s="31">
        <f>IF($T5=3,IF($R5&lt;BD$3,IF($R5&lt;BC$3,0,TRUNC($R5*0.75-75000)),0),0)</f>
        <v>0</v>
      </c>
      <c r="BE5" s="31">
        <f>IF($T5=3,IF($R5&lt;BE$3,IF($R5&lt;BD$3,0,TRUNC($R5*0.85-485000)),0),0)</f>
        <v>0</v>
      </c>
      <c r="BF5" s="31">
        <f>IF($T5=3,IF($R5&lt;BF$3,IF($R5&lt;BE$3,0,TRUNC($R5*0.95-1255000)),0),0)</f>
        <v>0</v>
      </c>
      <c r="BG5" s="32">
        <f>IF($T5=3,IF($R5&gt;BG$3-1,$R5-1755000,0),0)</f>
        <v>0</v>
      </c>
      <c r="BH5" s="33">
        <f>SUM(AP5:BG5)</f>
        <v>0</v>
      </c>
      <c r="BJ5" s="31" t="s">
        <v>46</v>
      </c>
      <c r="BK5" s="49" t="e">
        <f>IF(AND(C5&gt;0,U5&gt;0,C5+U5&gt;100000),IF(C5+U5&gt;200000,100000,C5+U5-100000),0)</f>
        <v>#VALUE!</v>
      </c>
      <c r="BL5" s="49" t="s">
        <v>58</v>
      </c>
      <c r="BM5" s="49">
        <f>IF(AND(C5&gt;0,AO5&gt;0,C5+AO5&gt;100000),IF(C5+AO5&gt;200000,100000,C5+AO5-100000),0)</f>
        <v>0</v>
      </c>
      <c r="BN5" s="49">
        <f>IF(C5&gt;BM5,BM5,C5)</f>
        <v>0</v>
      </c>
      <c r="BP5" s="50">
        <f>税率!C42</f>
        <v>0</v>
      </c>
      <c r="BQ5" s="49" t="e">
        <f>IF(BP5=0,C5-BL5,C5-BN5)</f>
        <v>#VALUE!</v>
      </c>
      <c r="BR5" s="51" t="str">
        <f>IF(BP5=0,U5,AO5)</f>
        <v>-</v>
      </c>
    </row>
    <row r="6" spans="1:70" x14ac:dyDescent="0.15">
      <c r="A6" s="31" t="s">
        <v>9</v>
      </c>
      <c r="B6" s="159">
        <f>概算シート!G7</f>
        <v>0</v>
      </c>
      <c r="C6" s="37">
        <f>IF($B6&gt;0,$O6,0)</f>
        <v>0</v>
      </c>
      <c r="D6" s="36">
        <f t="shared" si="0"/>
        <v>0</v>
      </c>
      <c r="E6" s="23">
        <f>IF(B6&lt;E$3,IF(B6&lt;D$3,0,B6-550000),0)</f>
        <v>0</v>
      </c>
      <c r="F6" s="23">
        <f>IF(B6&lt;F$3,IF(B6&lt;E$3,0,1069000),0)</f>
        <v>0</v>
      </c>
      <c r="G6" s="23">
        <f>IF(B6&lt;G$3,IF(B6&lt;F$3,0,1070000),0)</f>
        <v>0</v>
      </c>
      <c r="H6" s="23">
        <f>IF(B6&lt;H$3,IF(B6&lt;G$3,0,1072000),0)</f>
        <v>0</v>
      </c>
      <c r="I6" s="23">
        <f>IF(B6&lt;I$3,IF(B6&lt;H$3,0,1074000),0)</f>
        <v>0</v>
      </c>
      <c r="J6" s="23">
        <f>IF(B6&lt;J$3,IF(B6&lt;I$3,0,(TRUNC(B6/4000)*2.4)*1000+100000),0)</f>
        <v>0</v>
      </c>
      <c r="K6" s="23">
        <f>IF(B6&lt;K$3,IF(B6&lt;J$3,0,(TRUNC(B6/4000)*2.8-180)*1000+100000),0)</f>
        <v>0</v>
      </c>
      <c r="L6" s="23">
        <f>IF(B6&lt;L$3,IF(B6&lt;K$3,0,(TRUNC(B6/4000)*3.2-540)*1000+100000),0)</f>
        <v>0</v>
      </c>
      <c r="M6" s="23">
        <f t="shared" ref="M6:M14" si="2">IF(B6&lt;M$3,IF(B6&lt;L$3,0,TRUNC(B6-1760000-((B6-6600000)*0.1))),0)</f>
        <v>0</v>
      </c>
      <c r="N6" s="23">
        <f>IF(B6&lt;M$3,0,TRUNC(B6-1950000))</f>
        <v>0</v>
      </c>
      <c r="O6" s="23">
        <f t="shared" si="1"/>
        <v>0</v>
      </c>
      <c r="P6" s="14"/>
      <c r="Q6" s="31" t="s">
        <v>9</v>
      </c>
      <c r="R6" s="160" t="s">
        <v>57</v>
      </c>
      <c r="S6" s="161" t="s">
        <v>57</v>
      </c>
      <c r="T6" s="160" t="s">
        <v>61</v>
      </c>
      <c r="U6" s="24" t="s">
        <v>57</v>
      </c>
      <c r="V6" s="25">
        <v>0</v>
      </c>
      <c r="W6" s="26">
        <f t="shared" ref="W6:W14" si="3">IF($T6=1,IF($R6&lt;W$3,IF($R6&lt;V$3,0,$R6-600000),0),0)</f>
        <v>0</v>
      </c>
      <c r="X6" s="26">
        <f t="shared" ref="X6:X14" si="4">IF($T6=1,IF($R6&lt;X$3,IF($R6&lt;W$3,0,TRUNC($R6*0.75-275000)),0),0)</f>
        <v>0</v>
      </c>
      <c r="Y6" s="26">
        <f t="shared" ref="Y6:Y14" si="5">IF($T6=1,IF($R6&lt;Y$3,IF($R6&lt;X$3,0,TRUNC($R6*0.85-685000)),0),0)</f>
        <v>0</v>
      </c>
      <c r="Z6" s="26">
        <f t="shared" ref="Z6:Z14" si="6">IF($T6=1,IF($R6&lt;Z$3,IF($R6&lt;Y$3,0,TRUNC($R6*0.95-1455000)),0),0)</f>
        <v>0</v>
      </c>
      <c r="AA6" s="27">
        <f t="shared" ref="AA6:AA14" si="7">IF($T6=1,IF($R6&gt;Z$3-1,$R6-1955000,0),0)</f>
        <v>0</v>
      </c>
      <c r="AB6" s="25">
        <v>0</v>
      </c>
      <c r="AC6" s="26">
        <f t="shared" ref="AC6:AC14" si="8">IF($T6=2,IF($R6&lt;AC$3,IF($R6&lt;AB$3,0,$R6-500000),0),0)</f>
        <v>0</v>
      </c>
      <c r="AD6" s="26">
        <f t="shared" ref="AD6:AD14" si="9">IF($T6=2,IF($R6&lt;AD$3,IF($R6&lt;AC$3,0,TRUNC($R6*0.75-175000)),0),0)</f>
        <v>0</v>
      </c>
      <c r="AE6" s="26">
        <f t="shared" ref="AE6:AE14" si="10">IF($T6=2,IF($R6&lt;AE$3,IF($R6&lt;AD$3,0,TRUNC($R6*0.85-585000)),0),0)</f>
        <v>0</v>
      </c>
      <c r="AF6" s="26">
        <f t="shared" ref="AF6:AF14" si="11">IF($T6=2,IF($R6&lt;AF$3,IF($R6&lt;AE$3,0,TRUNC($R6*0.95-1355000)),0),0)</f>
        <v>0</v>
      </c>
      <c r="AG6" s="27">
        <f t="shared" ref="AG6:AG14" si="12">IF($T6=2,IF($R6&gt;AF$3-1,$R6-1855000,0),0)</f>
        <v>0</v>
      </c>
      <c r="AH6" s="25">
        <v>0</v>
      </c>
      <c r="AI6" s="26">
        <f>IF($T6=3,IF($R6&lt;AI$3,IF($R6&lt;AH$3,0,$R6-400000),0),0)</f>
        <v>0</v>
      </c>
      <c r="AJ6" s="26">
        <f>IF($T6=3,IF($R6&lt;AJ$3,IF($R6&lt;AI$3,0,TRUNC($R6*0.75-75000)),0),0)</f>
        <v>0</v>
      </c>
      <c r="AK6" s="26">
        <f>IF($T6=3,IF($R6&lt;AK$3,IF($R6&lt;AJ$3,0,TRUNC($R6*0.85-485000)),0),0)</f>
        <v>0</v>
      </c>
      <c r="AL6" s="26">
        <f>IF($T6=3,IF($R6&lt;AL$3,IF($R6&lt;AK$3,0,TRUNC($R6*0.95-1255000)),0),0)</f>
        <v>0</v>
      </c>
      <c r="AM6" s="27">
        <f>IF($T6=3,IF($R6&gt;AL$3-1,$R6-1755000,0),0)</f>
        <v>0</v>
      </c>
      <c r="AN6" s="28">
        <f t="shared" ref="AN6:AN14" si="13">SUM(V6:AM6)</f>
        <v>0</v>
      </c>
      <c r="AO6" s="29">
        <f>税率!D43</f>
        <v>0</v>
      </c>
      <c r="AP6" s="30">
        <v>0</v>
      </c>
      <c r="AQ6" s="31">
        <f>IF($T6=1,IF($R6&lt;AQ$3,IF($R6&lt;AP$3,0,$R6-1100000),0),0)</f>
        <v>0</v>
      </c>
      <c r="AR6" s="31">
        <f>IF($T6=1,IF($R6&lt;AR$3,IF($R6&lt;AQ$3,0,TRUNC($R6*0.75-275000)),0),0)</f>
        <v>0</v>
      </c>
      <c r="AS6" s="31">
        <f>IF($T6=1,IF($R6&lt;AS$3,IF($R6&lt;AR$3,0,TRUNC($R6*0.85-685000)),0),0)</f>
        <v>0</v>
      </c>
      <c r="AT6" s="31">
        <f>IF($T6=1,IF($R6&lt;AT$3,IF($R6&lt;AS$3,0,TRUNC($R6*0.95-1455000)),0),0)</f>
        <v>0</v>
      </c>
      <c r="AU6" s="32">
        <f>IF($T6=1,IF($R6&gt;AU$3-1,$R6-1955000,0),0)</f>
        <v>0</v>
      </c>
      <c r="AV6" s="30">
        <v>0</v>
      </c>
      <c r="AW6" s="31">
        <f t="shared" ref="AW6:AW14" si="14">IF($T6=2,IF($R6&lt;AW$3,IF($R6&lt;AV$3,0,$R6-1000000),0),0)</f>
        <v>0</v>
      </c>
      <c r="AX6" s="31">
        <f t="shared" ref="AX6:AX14" si="15">IF($T6=2,IF($R6&lt;AX$3,IF($R6&lt;AW$3,0,TRUNC($R6*0.75-175000)),0),0)</f>
        <v>0</v>
      </c>
      <c r="AY6" s="31">
        <f t="shared" ref="AY6:AY14" si="16">IF($T6=2,IF($R6&lt;AY$3,IF($R6&lt;AX$3,0,TRUNC($R6*0.85-585000)),0),0)</f>
        <v>0</v>
      </c>
      <c r="AZ6" s="31">
        <f t="shared" ref="AZ6:AZ14" si="17">IF($T6=2,IF($R6&lt;AZ$3,IF($R6&lt;AY$3,0,TRUNC($R6*0.95-1355000)),0),0)</f>
        <v>0</v>
      </c>
      <c r="BA6" s="32">
        <f t="shared" ref="BA6:BA14" si="18">IF($T6=2,IF($R6&gt;BA$3-1,$R6-1855000,0),0)</f>
        <v>0</v>
      </c>
      <c r="BB6" s="30">
        <v>0</v>
      </c>
      <c r="BC6" s="31">
        <f>IF($T6=3,IF($R6&lt;BC$3,IF($R6&lt;BB$3,0,$R6-900000),0),0)</f>
        <v>0</v>
      </c>
      <c r="BD6" s="31">
        <f>IF($T6=3,IF($R6&lt;BD$3,IF($R6&lt;BC$3,0,TRUNC($R6*0.75-75000)),0),0)</f>
        <v>0</v>
      </c>
      <c r="BE6" s="31">
        <f>IF($T6=3,IF($R6&lt;BE$3,IF($R6&lt;BD$3,0,TRUNC($R6*0.85-485000)),0),0)</f>
        <v>0</v>
      </c>
      <c r="BF6" s="31">
        <f>IF($T6=3,IF($R6&lt;BF$3,IF($R6&lt;BE$3,0,TRUNC($R6*0.95-1255000)),0),0)</f>
        <v>0</v>
      </c>
      <c r="BG6" s="32">
        <f>IF($T6=3,IF($R6&gt;BG$3-1,$R6-1755000,0),0)</f>
        <v>0</v>
      </c>
      <c r="BH6" s="33">
        <f t="shared" ref="BH6:BH9" si="19">SUM(AP6:BG6)</f>
        <v>0</v>
      </c>
      <c r="BJ6" s="31" t="s">
        <v>9</v>
      </c>
      <c r="BK6" s="49" t="e">
        <f t="shared" ref="BK6:BK14" si="20">IF(AND(C6&gt;0,U6&gt;0,C6+U6&gt;100000),IF(C6+U6&gt;200000,100000,C6+U6-100000),0)</f>
        <v>#VALUE!</v>
      </c>
      <c r="BL6" s="49" t="s">
        <v>58</v>
      </c>
      <c r="BM6" s="49">
        <f t="shared" ref="BM6:BM14" si="21">IF(AND(C6&gt;0,AO6&gt;0,C6+AO6&gt;100000),IF(C6+AO6&gt;200000,100000,C6+AO6-100000),0)</f>
        <v>0</v>
      </c>
      <c r="BN6" s="49">
        <f t="shared" ref="BN6:BN14" si="22">IF(C6&gt;BM6,BM6,C6)</f>
        <v>0</v>
      </c>
      <c r="BP6" s="50">
        <f>税率!C43</f>
        <v>0</v>
      </c>
      <c r="BQ6" s="49" t="e">
        <f t="shared" ref="BQ6:BQ14" si="23">IF(BP6=0,C6-BL6,C6-BN6)</f>
        <v>#VALUE!</v>
      </c>
      <c r="BR6" s="51" t="str">
        <f t="shared" ref="BR6:BR14" si="24">IF(BP6=0,U6,AO6)</f>
        <v>-</v>
      </c>
    </row>
    <row r="7" spans="1:70" x14ac:dyDescent="0.15">
      <c r="A7" s="31" t="s">
        <v>10</v>
      </c>
      <c r="B7" s="159">
        <f>概算シート!G8</f>
        <v>0</v>
      </c>
      <c r="C7" s="37">
        <f>IF($B7&gt;0,$O7,0)</f>
        <v>0</v>
      </c>
      <c r="D7" s="36">
        <f t="shared" si="0"/>
        <v>0</v>
      </c>
      <c r="E7" s="23">
        <f>IF(B7&lt;E$3,IF(B7&lt;D$3,0,B7-550000),0)</f>
        <v>0</v>
      </c>
      <c r="F7" s="23">
        <f>IF(B7&lt;F$3,IF(B7&lt;E$3,0,1069000),0)</f>
        <v>0</v>
      </c>
      <c r="G7" s="23">
        <f>IF(B7&lt;G$3,IF(B7&lt;F$3,0,1070000),0)</f>
        <v>0</v>
      </c>
      <c r="H7" s="23">
        <f>IF(B7&lt;H$3,IF(B7&lt;G$3,0,1072000),0)</f>
        <v>0</v>
      </c>
      <c r="I7" s="23">
        <f>IF(B7&lt;I$3,IF(B7&lt;H$3,0,1074000),0)</f>
        <v>0</v>
      </c>
      <c r="J7" s="23">
        <f>IF(B7&lt;J$3,IF(B7&lt;I$3,0,(TRUNC(B7/4000)*2.4)*1000+100000),0)</f>
        <v>0</v>
      </c>
      <c r="K7" s="23">
        <f>IF(B7&lt;K$3,IF(B7&lt;J$3,0,(TRUNC(B7/4000)*2.8-180)*1000+100000),0)</f>
        <v>0</v>
      </c>
      <c r="L7" s="23">
        <f>IF(B7&lt;L$3,IF(B7&lt;K$3,0,(TRUNC(B7/4000)*3.2-540)*1000+100000),0)</f>
        <v>0</v>
      </c>
      <c r="M7" s="23">
        <f t="shared" si="2"/>
        <v>0</v>
      </c>
      <c r="N7" s="23">
        <f>IF(B7&lt;M$3,0,TRUNC(B7-1950000))</f>
        <v>0</v>
      </c>
      <c r="O7" s="23">
        <f t="shared" si="1"/>
        <v>0</v>
      </c>
      <c r="P7" s="14"/>
      <c r="Q7" s="31" t="s">
        <v>10</v>
      </c>
      <c r="R7" s="160" t="s">
        <v>57</v>
      </c>
      <c r="S7" s="161" t="s">
        <v>57</v>
      </c>
      <c r="T7" s="160" t="s">
        <v>60</v>
      </c>
      <c r="U7" s="24" t="s">
        <v>57</v>
      </c>
      <c r="V7" s="25">
        <v>0</v>
      </c>
      <c r="W7" s="26">
        <f t="shared" si="3"/>
        <v>0</v>
      </c>
      <c r="X7" s="26">
        <f t="shared" si="4"/>
        <v>0</v>
      </c>
      <c r="Y7" s="26">
        <f t="shared" si="5"/>
        <v>0</v>
      </c>
      <c r="Z7" s="26">
        <f t="shared" si="6"/>
        <v>0</v>
      </c>
      <c r="AA7" s="27">
        <f t="shared" si="7"/>
        <v>0</v>
      </c>
      <c r="AB7" s="25">
        <v>0</v>
      </c>
      <c r="AC7" s="26">
        <f t="shared" si="8"/>
        <v>0</v>
      </c>
      <c r="AD7" s="26">
        <f t="shared" si="9"/>
        <v>0</v>
      </c>
      <c r="AE7" s="26">
        <f t="shared" si="10"/>
        <v>0</v>
      </c>
      <c r="AF7" s="26">
        <f t="shared" si="11"/>
        <v>0</v>
      </c>
      <c r="AG7" s="27">
        <f t="shared" si="12"/>
        <v>0</v>
      </c>
      <c r="AH7" s="25">
        <v>0</v>
      </c>
      <c r="AI7" s="26">
        <f>IF($T7=3,IF($R7&lt;AI$3,IF($R7&lt;AH$3,0,$R7-400000),0),0)</f>
        <v>0</v>
      </c>
      <c r="AJ7" s="26">
        <f>IF($T7=3,IF($R7&lt;AJ$3,IF($R7&lt;AI$3,0,TRUNC($R7*0.75-75000)),0),0)</f>
        <v>0</v>
      </c>
      <c r="AK7" s="26">
        <f>IF($T7=3,IF($R7&lt;AK$3,IF($R7&lt;AJ$3,0,TRUNC($R7*0.85-485000)),0),0)</f>
        <v>0</v>
      </c>
      <c r="AL7" s="26">
        <f>IF($T7=3,IF($R7&lt;AL$3,IF($R7&lt;AK$3,0,TRUNC($R7*0.95-1255000)),0),0)</f>
        <v>0</v>
      </c>
      <c r="AM7" s="27">
        <f>IF($T7=3,IF($R7&gt;AL$3-1,$R7-1755000,0),0)</f>
        <v>0</v>
      </c>
      <c r="AN7" s="28">
        <f t="shared" si="13"/>
        <v>0</v>
      </c>
      <c r="AO7" s="29">
        <f>税率!D44</f>
        <v>0</v>
      </c>
      <c r="AP7" s="30">
        <v>0</v>
      </c>
      <c r="AQ7" s="31">
        <f>IF($T7=1,IF($R7&lt;AQ$3,IF($R7&lt;AP$3,0,$R7-1100000),0),0)</f>
        <v>0</v>
      </c>
      <c r="AR7" s="31">
        <f>IF($T7=1,IF($R7&lt;AR$3,IF($R7&lt;AQ$3,0,TRUNC($R7*0.75-275000)),0),0)</f>
        <v>0</v>
      </c>
      <c r="AS7" s="31">
        <f>IF($T7=1,IF($R7&lt;AS$3,IF($R7&lt;AR$3,0,TRUNC($R7*0.85-685000)),0),0)</f>
        <v>0</v>
      </c>
      <c r="AT7" s="31">
        <f>IF($T7=1,IF($R7&lt;AT$3,IF($R7&lt;AS$3,0,TRUNC($R7*0.95-1455000)),0),0)</f>
        <v>0</v>
      </c>
      <c r="AU7" s="32">
        <f>IF($T7=1,IF($R7&gt;AU$3-1,$R7-1955000,0),0)</f>
        <v>0</v>
      </c>
      <c r="AV7" s="30">
        <v>0</v>
      </c>
      <c r="AW7" s="31">
        <f t="shared" si="14"/>
        <v>0</v>
      </c>
      <c r="AX7" s="31">
        <f t="shared" si="15"/>
        <v>0</v>
      </c>
      <c r="AY7" s="31">
        <f t="shared" si="16"/>
        <v>0</v>
      </c>
      <c r="AZ7" s="31">
        <f t="shared" si="17"/>
        <v>0</v>
      </c>
      <c r="BA7" s="32">
        <f t="shared" si="18"/>
        <v>0</v>
      </c>
      <c r="BB7" s="30">
        <v>0</v>
      </c>
      <c r="BC7" s="31">
        <f>IF($T7=3,IF($R7&lt;BC$3,IF($R7&lt;BB$3,0,$R7-900000),0),0)</f>
        <v>0</v>
      </c>
      <c r="BD7" s="31">
        <f>IF($T7=3,IF($R7&lt;BD$3,IF($R7&lt;BC$3,0,TRUNC($R7*0.75-75000)),0),0)</f>
        <v>0</v>
      </c>
      <c r="BE7" s="31">
        <f>IF($T7=3,IF($R7&lt;BE$3,IF($R7&lt;BD$3,0,TRUNC($R7*0.85-485000)),0),0)</f>
        <v>0</v>
      </c>
      <c r="BF7" s="31">
        <f>IF($T7=3,IF($R7&lt;BF$3,IF($R7&lt;BE$3,0,TRUNC($R7*0.95-1255000)),0),0)</f>
        <v>0</v>
      </c>
      <c r="BG7" s="32">
        <f>IF($T7=3,IF($R7&gt;BG$3-1,$R7-1755000,0),0)</f>
        <v>0</v>
      </c>
      <c r="BH7" s="33">
        <f t="shared" si="19"/>
        <v>0</v>
      </c>
      <c r="BJ7" s="31" t="s">
        <v>10</v>
      </c>
      <c r="BK7" s="49" t="e">
        <f t="shared" si="20"/>
        <v>#VALUE!</v>
      </c>
      <c r="BL7" s="49" t="s">
        <v>58</v>
      </c>
      <c r="BM7" s="49">
        <f t="shared" si="21"/>
        <v>0</v>
      </c>
      <c r="BN7" s="49">
        <f t="shared" si="22"/>
        <v>0</v>
      </c>
      <c r="BP7" s="50">
        <f>税率!C44</f>
        <v>0</v>
      </c>
      <c r="BQ7" s="49" t="e">
        <f t="shared" si="23"/>
        <v>#VALUE!</v>
      </c>
      <c r="BR7" s="51" t="str">
        <f t="shared" si="24"/>
        <v>-</v>
      </c>
    </row>
    <row r="8" spans="1:70" x14ac:dyDescent="0.15">
      <c r="A8" s="31" t="s">
        <v>11</v>
      </c>
      <c r="B8" s="159">
        <f>概算シート!G9</f>
        <v>0</v>
      </c>
      <c r="C8" s="37">
        <f>IF($B8&gt;0,$O8,0)</f>
        <v>0</v>
      </c>
      <c r="D8" s="36">
        <f t="shared" si="0"/>
        <v>0</v>
      </c>
      <c r="E8" s="23">
        <f t="shared" ref="E8:E14" si="25">IF(B8&lt;E$3,IF(B8&lt;D$3,0,B8-550000),0)</f>
        <v>0</v>
      </c>
      <c r="F8" s="23">
        <f t="shared" ref="F8:F14" si="26">IF(B8&lt;F$3,IF(B8&lt;E$3,0,1069000),0)</f>
        <v>0</v>
      </c>
      <c r="G8" s="23">
        <f t="shared" ref="G8:G14" si="27">IF(B8&lt;G$3,IF(B8&lt;F$3,0,1070000),0)</f>
        <v>0</v>
      </c>
      <c r="H8" s="23">
        <f t="shared" ref="H8:H14" si="28">IF(B8&lt;H$3,IF(B8&lt;G$3,0,1072000),0)</f>
        <v>0</v>
      </c>
      <c r="I8" s="23">
        <f t="shared" ref="I8:I14" si="29">IF(B8&lt;I$3,IF(B8&lt;H$3,0,1074000),0)</f>
        <v>0</v>
      </c>
      <c r="J8" s="23">
        <f t="shared" ref="J8:J14" si="30">IF(B8&lt;J$3,IF(B8&lt;I$3,0,(TRUNC(B8/4000)*2.4)*1000+100000),0)</f>
        <v>0</v>
      </c>
      <c r="K8" s="23">
        <f t="shared" ref="K8:K14" si="31">IF(B8&lt;K$3,IF(B8&lt;J$3,0,(TRUNC(B8/4000)*2.8-180)*1000+100000),0)</f>
        <v>0</v>
      </c>
      <c r="L8" s="23">
        <f t="shared" ref="L8:L14" si="32">IF(B8&lt;L$3,IF(B8&lt;K$3,0,(TRUNC(B8/4000)*3.2-540)*1000+100000),0)</f>
        <v>0</v>
      </c>
      <c r="M8" s="23">
        <f t="shared" si="2"/>
        <v>0</v>
      </c>
      <c r="N8" s="23">
        <f t="shared" ref="N8:N14" si="33">IF(B8&lt;M$3,0,TRUNC(B8-1950000))</f>
        <v>0</v>
      </c>
      <c r="O8" s="23">
        <f t="shared" si="1"/>
        <v>0</v>
      </c>
      <c r="P8" s="14"/>
      <c r="Q8" s="31" t="s">
        <v>11</v>
      </c>
      <c r="R8" s="160" t="s">
        <v>57</v>
      </c>
      <c r="S8" s="161" t="s">
        <v>57</v>
      </c>
      <c r="T8" s="160" t="s">
        <v>60</v>
      </c>
      <c r="U8" s="24" t="s">
        <v>57</v>
      </c>
      <c r="V8" s="25">
        <v>0</v>
      </c>
      <c r="W8" s="26">
        <f t="shared" si="3"/>
        <v>0</v>
      </c>
      <c r="X8" s="26">
        <f t="shared" si="4"/>
        <v>0</v>
      </c>
      <c r="Y8" s="26">
        <f t="shared" si="5"/>
        <v>0</v>
      </c>
      <c r="Z8" s="26">
        <f t="shared" si="6"/>
        <v>0</v>
      </c>
      <c r="AA8" s="27">
        <f t="shared" si="7"/>
        <v>0</v>
      </c>
      <c r="AB8" s="25">
        <v>0</v>
      </c>
      <c r="AC8" s="26">
        <f t="shared" si="8"/>
        <v>0</v>
      </c>
      <c r="AD8" s="26">
        <f t="shared" si="9"/>
        <v>0</v>
      </c>
      <c r="AE8" s="26">
        <f t="shared" si="10"/>
        <v>0</v>
      </c>
      <c r="AF8" s="26">
        <f t="shared" si="11"/>
        <v>0</v>
      </c>
      <c r="AG8" s="27">
        <f t="shared" si="12"/>
        <v>0</v>
      </c>
      <c r="AH8" s="25">
        <v>0</v>
      </c>
      <c r="AI8" s="26">
        <f t="shared" ref="AI8:AI14" si="34">IF($T8=3,IF($R8&lt;AI$3,IF($R8&lt;AH$3,0,$R8-400000),0),0)</f>
        <v>0</v>
      </c>
      <c r="AJ8" s="26">
        <f t="shared" ref="AJ8:AJ14" si="35">IF($T8=3,IF($R8&lt;AJ$3,IF($R8&lt;AI$3,0,TRUNC($R8*0.75-75000)),0),0)</f>
        <v>0</v>
      </c>
      <c r="AK8" s="26">
        <f t="shared" ref="AK8:AK14" si="36">IF($T8=3,IF($R8&lt;AK$3,IF($R8&lt;AJ$3,0,TRUNC($R8*0.85-485000)),0),0)</f>
        <v>0</v>
      </c>
      <c r="AL8" s="26">
        <f t="shared" ref="AL8:AL14" si="37">IF($T8=3,IF($R8&lt;AL$3,IF($R8&lt;AK$3,0,TRUNC($R8*0.95-1255000)),0),0)</f>
        <v>0</v>
      </c>
      <c r="AM8" s="27">
        <f t="shared" ref="AM8:AM14" si="38">IF($T8=3,IF($R8&gt;AL$3-1,$R8-1755000,0),0)</f>
        <v>0</v>
      </c>
      <c r="AN8" s="28">
        <f t="shared" si="13"/>
        <v>0</v>
      </c>
      <c r="AO8" s="29">
        <f>税率!D45</f>
        <v>0</v>
      </c>
      <c r="AP8" s="30">
        <v>0</v>
      </c>
      <c r="AQ8" s="31">
        <f t="shared" ref="AQ8:AQ14" si="39">IF($T8=1,IF($R8&lt;AQ$3,IF($R8&lt;AP$3,0,$R8-1100000),0),0)</f>
        <v>0</v>
      </c>
      <c r="AR8" s="31">
        <f t="shared" ref="AR8:AR14" si="40">IF($T8=1,IF($R8&lt;AR$3,IF($R8&lt;AQ$3,0,TRUNC($R8*0.75-275000)),0),0)</f>
        <v>0</v>
      </c>
      <c r="AS8" s="31">
        <f t="shared" ref="AS8:AS14" si="41">IF($T8=1,IF($R8&lt;AS$3,IF($R8&lt;AR$3,0,TRUNC($R8*0.85-685000)),0),0)</f>
        <v>0</v>
      </c>
      <c r="AT8" s="31">
        <f t="shared" ref="AT8:AT14" si="42">IF($T8=1,IF($R8&lt;AT$3,IF($R8&lt;AS$3,0,TRUNC($R8*0.95-1455000)),0),0)</f>
        <v>0</v>
      </c>
      <c r="AU8" s="32">
        <f t="shared" ref="AU8:AU14" si="43">IF($T8=1,IF($R8&gt;AU$3-1,$R8-1955000,0),0)</f>
        <v>0</v>
      </c>
      <c r="AV8" s="30">
        <v>0</v>
      </c>
      <c r="AW8" s="31">
        <f t="shared" si="14"/>
        <v>0</v>
      </c>
      <c r="AX8" s="31">
        <f t="shared" si="15"/>
        <v>0</v>
      </c>
      <c r="AY8" s="31">
        <f t="shared" si="16"/>
        <v>0</v>
      </c>
      <c r="AZ8" s="31">
        <f t="shared" si="17"/>
        <v>0</v>
      </c>
      <c r="BA8" s="32">
        <f t="shared" si="18"/>
        <v>0</v>
      </c>
      <c r="BB8" s="30">
        <v>0</v>
      </c>
      <c r="BC8" s="31">
        <f t="shared" ref="BC8:BC14" si="44">IF($T8=3,IF($R8&lt;BC$3,IF($R8&lt;BB$3,0,$R8-900000),0),0)</f>
        <v>0</v>
      </c>
      <c r="BD8" s="31">
        <f t="shared" ref="BD8:BD14" si="45">IF($T8=3,IF($R8&lt;BD$3,IF($R8&lt;BC$3,0,TRUNC($R8*0.75-75000)),0),0)</f>
        <v>0</v>
      </c>
      <c r="BE8" s="31">
        <f t="shared" ref="BE8:BE14" si="46">IF($T8=3,IF($R8&lt;BE$3,IF($R8&lt;BD$3,0,TRUNC($R8*0.85-485000)),0),0)</f>
        <v>0</v>
      </c>
      <c r="BF8" s="31">
        <f t="shared" ref="BF8:BF14" si="47">IF($T8=3,IF($R8&lt;BF$3,IF($R8&lt;BE$3,0,TRUNC($R8*0.95-1255000)),0),0)</f>
        <v>0</v>
      </c>
      <c r="BG8" s="32">
        <f t="shared" ref="BG8:BG14" si="48">IF($T8=3,IF($R8&gt;BG$3-1,$R8-1755000,0),0)</f>
        <v>0</v>
      </c>
      <c r="BH8" s="33">
        <f t="shared" si="19"/>
        <v>0</v>
      </c>
      <c r="BJ8" s="31" t="s">
        <v>11</v>
      </c>
      <c r="BK8" s="49" t="e">
        <f t="shared" si="20"/>
        <v>#VALUE!</v>
      </c>
      <c r="BL8" s="49" t="s">
        <v>58</v>
      </c>
      <c r="BM8" s="49">
        <f t="shared" si="21"/>
        <v>0</v>
      </c>
      <c r="BN8" s="49">
        <f t="shared" si="22"/>
        <v>0</v>
      </c>
      <c r="BP8" s="50">
        <f>税率!C45</f>
        <v>0</v>
      </c>
      <c r="BQ8" s="49" t="e">
        <f t="shared" si="23"/>
        <v>#VALUE!</v>
      </c>
      <c r="BR8" s="51" t="str">
        <f t="shared" si="24"/>
        <v>-</v>
      </c>
    </row>
    <row r="9" spans="1:70" x14ac:dyDescent="0.15">
      <c r="A9" s="31" t="s">
        <v>12</v>
      </c>
      <c r="B9" s="159">
        <f>概算シート!G10</f>
        <v>0</v>
      </c>
      <c r="C9" s="37">
        <f>IF($B9&gt;0,$O9,0)</f>
        <v>0</v>
      </c>
      <c r="D9" s="36">
        <f t="shared" si="0"/>
        <v>0</v>
      </c>
      <c r="E9" s="23">
        <f t="shared" si="25"/>
        <v>0</v>
      </c>
      <c r="F9" s="23">
        <f t="shared" si="26"/>
        <v>0</v>
      </c>
      <c r="G9" s="23">
        <f t="shared" si="27"/>
        <v>0</v>
      </c>
      <c r="H9" s="23">
        <f t="shared" si="28"/>
        <v>0</v>
      </c>
      <c r="I9" s="23">
        <f t="shared" si="29"/>
        <v>0</v>
      </c>
      <c r="J9" s="23">
        <f t="shared" si="30"/>
        <v>0</v>
      </c>
      <c r="K9" s="23">
        <f t="shared" si="31"/>
        <v>0</v>
      </c>
      <c r="L9" s="23">
        <f t="shared" si="32"/>
        <v>0</v>
      </c>
      <c r="M9" s="23">
        <f t="shared" si="2"/>
        <v>0</v>
      </c>
      <c r="N9" s="23">
        <f t="shared" si="33"/>
        <v>0</v>
      </c>
      <c r="O9" s="23">
        <f t="shared" si="1"/>
        <v>0</v>
      </c>
      <c r="P9" s="14"/>
      <c r="Q9" s="31" t="s">
        <v>12</v>
      </c>
      <c r="R9" s="160" t="s">
        <v>57</v>
      </c>
      <c r="S9" s="161" t="s">
        <v>57</v>
      </c>
      <c r="T9" s="160" t="s">
        <v>60</v>
      </c>
      <c r="U9" s="24" t="s">
        <v>57</v>
      </c>
      <c r="V9" s="25">
        <v>0</v>
      </c>
      <c r="W9" s="26">
        <f t="shared" si="3"/>
        <v>0</v>
      </c>
      <c r="X9" s="26">
        <f t="shared" si="4"/>
        <v>0</v>
      </c>
      <c r="Y9" s="26">
        <f t="shared" si="5"/>
        <v>0</v>
      </c>
      <c r="Z9" s="26">
        <f t="shared" si="6"/>
        <v>0</v>
      </c>
      <c r="AA9" s="27">
        <f t="shared" si="7"/>
        <v>0</v>
      </c>
      <c r="AB9" s="25">
        <v>0</v>
      </c>
      <c r="AC9" s="26">
        <f t="shared" si="8"/>
        <v>0</v>
      </c>
      <c r="AD9" s="26">
        <f t="shared" si="9"/>
        <v>0</v>
      </c>
      <c r="AE9" s="26">
        <f t="shared" si="10"/>
        <v>0</v>
      </c>
      <c r="AF9" s="26">
        <f t="shared" si="11"/>
        <v>0</v>
      </c>
      <c r="AG9" s="27">
        <f t="shared" si="12"/>
        <v>0</v>
      </c>
      <c r="AH9" s="25">
        <v>0</v>
      </c>
      <c r="AI9" s="26">
        <f t="shared" si="34"/>
        <v>0</v>
      </c>
      <c r="AJ9" s="26">
        <f t="shared" si="35"/>
        <v>0</v>
      </c>
      <c r="AK9" s="26">
        <f t="shared" si="36"/>
        <v>0</v>
      </c>
      <c r="AL9" s="26">
        <f t="shared" si="37"/>
        <v>0</v>
      </c>
      <c r="AM9" s="27">
        <f t="shared" si="38"/>
        <v>0</v>
      </c>
      <c r="AN9" s="28">
        <f t="shared" si="13"/>
        <v>0</v>
      </c>
      <c r="AO9" s="29">
        <f>税率!D46</f>
        <v>0</v>
      </c>
      <c r="AP9" s="30">
        <v>0</v>
      </c>
      <c r="AQ9" s="31">
        <f t="shared" si="39"/>
        <v>0</v>
      </c>
      <c r="AR9" s="31">
        <f t="shared" si="40"/>
        <v>0</v>
      </c>
      <c r="AS9" s="31">
        <f t="shared" si="41"/>
        <v>0</v>
      </c>
      <c r="AT9" s="31">
        <f t="shared" si="42"/>
        <v>0</v>
      </c>
      <c r="AU9" s="32">
        <f t="shared" si="43"/>
        <v>0</v>
      </c>
      <c r="AV9" s="30">
        <v>0</v>
      </c>
      <c r="AW9" s="31">
        <f t="shared" si="14"/>
        <v>0</v>
      </c>
      <c r="AX9" s="31">
        <f t="shared" si="15"/>
        <v>0</v>
      </c>
      <c r="AY9" s="31">
        <f t="shared" si="16"/>
        <v>0</v>
      </c>
      <c r="AZ9" s="31">
        <f t="shared" si="17"/>
        <v>0</v>
      </c>
      <c r="BA9" s="32">
        <f t="shared" si="18"/>
        <v>0</v>
      </c>
      <c r="BB9" s="30">
        <v>0</v>
      </c>
      <c r="BC9" s="31">
        <f t="shared" si="44"/>
        <v>0</v>
      </c>
      <c r="BD9" s="31">
        <f t="shared" si="45"/>
        <v>0</v>
      </c>
      <c r="BE9" s="31">
        <f t="shared" si="46"/>
        <v>0</v>
      </c>
      <c r="BF9" s="31">
        <f t="shared" si="47"/>
        <v>0</v>
      </c>
      <c r="BG9" s="32">
        <f t="shared" si="48"/>
        <v>0</v>
      </c>
      <c r="BH9" s="33">
        <f t="shared" si="19"/>
        <v>0</v>
      </c>
      <c r="BJ9" s="31" t="s">
        <v>12</v>
      </c>
      <c r="BK9" s="49" t="e">
        <f t="shared" si="20"/>
        <v>#VALUE!</v>
      </c>
      <c r="BL9" s="49" t="s">
        <v>59</v>
      </c>
      <c r="BM9" s="49">
        <f t="shared" si="21"/>
        <v>0</v>
      </c>
      <c r="BN9" s="49">
        <f t="shared" si="22"/>
        <v>0</v>
      </c>
      <c r="BP9" s="50">
        <f>税率!C46</f>
        <v>0</v>
      </c>
      <c r="BQ9" s="49" t="e">
        <f t="shared" si="23"/>
        <v>#VALUE!</v>
      </c>
      <c r="BR9" s="51" t="str">
        <f t="shared" si="24"/>
        <v>-</v>
      </c>
    </row>
    <row r="10" spans="1:70" x14ac:dyDescent="0.15">
      <c r="A10" s="31" t="s">
        <v>13</v>
      </c>
      <c r="B10" s="159">
        <f>概算シート!G11</f>
        <v>0</v>
      </c>
      <c r="C10" s="37">
        <f t="shared" ref="C10:C14" si="49">IF($B10&gt;0,$O10,0)</f>
        <v>0</v>
      </c>
      <c r="D10" s="36">
        <f t="shared" si="0"/>
        <v>0</v>
      </c>
      <c r="E10" s="23">
        <f t="shared" si="25"/>
        <v>0</v>
      </c>
      <c r="F10" s="23">
        <f t="shared" si="26"/>
        <v>0</v>
      </c>
      <c r="G10" s="23">
        <f t="shared" si="27"/>
        <v>0</v>
      </c>
      <c r="H10" s="23">
        <f t="shared" si="28"/>
        <v>0</v>
      </c>
      <c r="I10" s="23">
        <f t="shared" si="29"/>
        <v>0</v>
      </c>
      <c r="J10" s="23">
        <f t="shared" si="30"/>
        <v>0</v>
      </c>
      <c r="K10" s="23">
        <f t="shared" si="31"/>
        <v>0</v>
      </c>
      <c r="L10" s="23">
        <f t="shared" si="32"/>
        <v>0</v>
      </c>
      <c r="M10" s="23">
        <f t="shared" si="2"/>
        <v>0</v>
      </c>
      <c r="N10" s="23">
        <f t="shared" si="33"/>
        <v>0</v>
      </c>
      <c r="O10" s="23">
        <f t="shared" si="1"/>
        <v>0</v>
      </c>
      <c r="P10" s="14"/>
      <c r="Q10" s="31" t="s">
        <v>13</v>
      </c>
      <c r="R10" s="160" t="s">
        <v>57</v>
      </c>
      <c r="S10" s="161" t="s">
        <v>57</v>
      </c>
      <c r="T10" s="160" t="s">
        <v>60</v>
      </c>
      <c r="U10" s="24" t="s">
        <v>57</v>
      </c>
      <c r="V10" s="25">
        <v>0</v>
      </c>
      <c r="W10" s="26">
        <f t="shared" si="3"/>
        <v>0</v>
      </c>
      <c r="X10" s="26">
        <f t="shared" si="4"/>
        <v>0</v>
      </c>
      <c r="Y10" s="26">
        <f t="shared" si="5"/>
        <v>0</v>
      </c>
      <c r="Z10" s="26">
        <f t="shared" si="6"/>
        <v>0</v>
      </c>
      <c r="AA10" s="27">
        <f t="shared" si="7"/>
        <v>0</v>
      </c>
      <c r="AB10" s="25">
        <v>0</v>
      </c>
      <c r="AC10" s="26">
        <f t="shared" si="8"/>
        <v>0</v>
      </c>
      <c r="AD10" s="26">
        <f t="shared" si="9"/>
        <v>0</v>
      </c>
      <c r="AE10" s="26">
        <f t="shared" si="10"/>
        <v>0</v>
      </c>
      <c r="AF10" s="26">
        <f t="shared" si="11"/>
        <v>0</v>
      </c>
      <c r="AG10" s="27">
        <f t="shared" si="12"/>
        <v>0</v>
      </c>
      <c r="AH10" s="25">
        <v>0</v>
      </c>
      <c r="AI10" s="26">
        <f t="shared" si="34"/>
        <v>0</v>
      </c>
      <c r="AJ10" s="26">
        <f t="shared" si="35"/>
        <v>0</v>
      </c>
      <c r="AK10" s="26">
        <f t="shared" si="36"/>
        <v>0</v>
      </c>
      <c r="AL10" s="26">
        <f t="shared" si="37"/>
        <v>0</v>
      </c>
      <c r="AM10" s="27">
        <f t="shared" si="38"/>
        <v>0</v>
      </c>
      <c r="AN10" s="28">
        <f t="shared" si="13"/>
        <v>0</v>
      </c>
      <c r="AO10" s="29">
        <f>税率!D47</f>
        <v>0</v>
      </c>
      <c r="AP10" s="30">
        <v>0</v>
      </c>
      <c r="AQ10" s="31">
        <f t="shared" si="39"/>
        <v>0</v>
      </c>
      <c r="AR10" s="31">
        <f t="shared" si="40"/>
        <v>0</v>
      </c>
      <c r="AS10" s="31">
        <f t="shared" si="41"/>
        <v>0</v>
      </c>
      <c r="AT10" s="31">
        <f t="shared" si="42"/>
        <v>0</v>
      </c>
      <c r="AU10" s="32">
        <f t="shared" si="43"/>
        <v>0</v>
      </c>
      <c r="AV10" s="30">
        <v>0</v>
      </c>
      <c r="AW10" s="31">
        <f t="shared" si="14"/>
        <v>0</v>
      </c>
      <c r="AX10" s="31">
        <f t="shared" si="15"/>
        <v>0</v>
      </c>
      <c r="AY10" s="31">
        <f t="shared" si="16"/>
        <v>0</v>
      </c>
      <c r="AZ10" s="31">
        <f t="shared" si="17"/>
        <v>0</v>
      </c>
      <c r="BA10" s="32">
        <f t="shared" si="18"/>
        <v>0</v>
      </c>
      <c r="BB10" s="30">
        <v>0</v>
      </c>
      <c r="BC10" s="31">
        <f t="shared" si="44"/>
        <v>0</v>
      </c>
      <c r="BD10" s="31">
        <f t="shared" si="45"/>
        <v>0</v>
      </c>
      <c r="BE10" s="31">
        <f t="shared" si="46"/>
        <v>0</v>
      </c>
      <c r="BF10" s="31">
        <f t="shared" si="47"/>
        <v>0</v>
      </c>
      <c r="BG10" s="32">
        <f t="shared" si="48"/>
        <v>0</v>
      </c>
      <c r="BH10" s="33">
        <f t="shared" ref="BH10:BH14" si="50">SUM(AP10:AU10)</f>
        <v>0</v>
      </c>
      <c r="BJ10" s="31" t="s">
        <v>13</v>
      </c>
      <c r="BK10" s="49" t="e">
        <f t="shared" si="20"/>
        <v>#VALUE!</v>
      </c>
      <c r="BL10" s="49" t="s">
        <v>58</v>
      </c>
      <c r="BM10" s="49">
        <f t="shared" si="21"/>
        <v>0</v>
      </c>
      <c r="BN10" s="49">
        <f t="shared" si="22"/>
        <v>0</v>
      </c>
      <c r="BP10" s="50">
        <f>税率!C47</f>
        <v>0</v>
      </c>
      <c r="BQ10" s="49" t="e">
        <f t="shared" si="23"/>
        <v>#VALUE!</v>
      </c>
      <c r="BR10" s="51" t="str">
        <f t="shared" si="24"/>
        <v>-</v>
      </c>
    </row>
    <row r="11" spans="1:70" x14ac:dyDescent="0.15">
      <c r="A11" s="31" t="s">
        <v>14</v>
      </c>
      <c r="B11" s="159">
        <f>概算シート!G12</f>
        <v>0</v>
      </c>
      <c r="C11" s="37">
        <f t="shared" si="49"/>
        <v>0</v>
      </c>
      <c r="D11" s="36">
        <f t="shared" si="0"/>
        <v>0</v>
      </c>
      <c r="E11" s="23">
        <f t="shared" si="25"/>
        <v>0</v>
      </c>
      <c r="F11" s="23">
        <f t="shared" si="26"/>
        <v>0</v>
      </c>
      <c r="G11" s="23">
        <f t="shared" si="27"/>
        <v>0</v>
      </c>
      <c r="H11" s="23">
        <f t="shared" si="28"/>
        <v>0</v>
      </c>
      <c r="I11" s="23">
        <f t="shared" si="29"/>
        <v>0</v>
      </c>
      <c r="J11" s="23">
        <f t="shared" si="30"/>
        <v>0</v>
      </c>
      <c r="K11" s="23">
        <f t="shared" si="31"/>
        <v>0</v>
      </c>
      <c r="L11" s="23">
        <f t="shared" si="32"/>
        <v>0</v>
      </c>
      <c r="M11" s="23">
        <f t="shared" si="2"/>
        <v>0</v>
      </c>
      <c r="N11" s="23">
        <f t="shared" si="33"/>
        <v>0</v>
      </c>
      <c r="O11" s="23">
        <f t="shared" si="1"/>
        <v>0</v>
      </c>
      <c r="P11" s="14"/>
      <c r="Q11" s="31" t="s">
        <v>14</v>
      </c>
      <c r="R11" s="160" t="s">
        <v>57</v>
      </c>
      <c r="S11" s="161" t="s">
        <v>57</v>
      </c>
      <c r="T11" s="160" t="s">
        <v>60</v>
      </c>
      <c r="U11" s="24" t="s">
        <v>57</v>
      </c>
      <c r="V11" s="25">
        <v>0</v>
      </c>
      <c r="W11" s="26">
        <f t="shared" si="3"/>
        <v>0</v>
      </c>
      <c r="X11" s="26">
        <f t="shared" si="4"/>
        <v>0</v>
      </c>
      <c r="Y11" s="26">
        <f t="shared" si="5"/>
        <v>0</v>
      </c>
      <c r="Z11" s="26">
        <f t="shared" si="6"/>
        <v>0</v>
      </c>
      <c r="AA11" s="27">
        <f t="shared" si="7"/>
        <v>0</v>
      </c>
      <c r="AB11" s="25">
        <v>0</v>
      </c>
      <c r="AC11" s="26">
        <f t="shared" si="8"/>
        <v>0</v>
      </c>
      <c r="AD11" s="26">
        <f t="shared" si="9"/>
        <v>0</v>
      </c>
      <c r="AE11" s="26">
        <f t="shared" si="10"/>
        <v>0</v>
      </c>
      <c r="AF11" s="26">
        <f t="shared" si="11"/>
        <v>0</v>
      </c>
      <c r="AG11" s="27">
        <f t="shared" si="12"/>
        <v>0</v>
      </c>
      <c r="AH11" s="25">
        <v>0</v>
      </c>
      <c r="AI11" s="26">
        <f t="shared" si="34"/>
        <v>0</v>
      </c>
      <c r="AJ11" s="26">
        <f t="shared" si="35"/>
        <v>0</v>
      </c>
      <c r="AK11" s="26">
        <f t="shared" si="36"/>
        <v>0</v>
      </c>
      <c r="AL11" s="26">
        <f t="shared" si="37"/>
        <v>0</v>
      </c>
      <c r="AM11" s="27">
        <f t="shared" si="38"/>
        <v>0</v>
      </c>
      <c r="AN11" s="28">
        <f t="shared" si="13"/>
        <v>0</v>
      </c>
      <c r="AO11" s="29">
        <f>税率!D48</f>
        <v>0</v>
      </c>
      <c r="AP11" s="30">
        <v>0</v>
      </c>
      <c r="AQ11" s="31">
        <f t="shared" si="39"/>
        <v>0</v>
      </c>
      <c r="AR11" s="31">
        <f t="shared" si="40"/>
        <v>0</v>
      </c>
      <c r="AS11" s="31">
        <f t="shared" si="41"/>
        <v>0</v>
      </c>
      <c r="AT11" s="31">
        <f t="shared" si="42"/>
        <v>0</v>
      </c>
      <c r="AU11" s="32">
        <f t="shared" si="43"/>
        <v>0</v>
      </c>
      <c r="AV11" s="30">
        <v>0</v>
      </c>
      <c r="AW11" s="31">
        <f t="shared" si="14"/>
        <v>0</v>
      </c>
      <c r="AX11" s="31">
        <f t="shared" si="15"/>
        <v>0</v>
      </c>
      <c r="AY11" s="31">
        <f t="shared" si="16"/>
        <v>0</v>
      </c>
      <c r="AZ11" s="31">
        <f t="shared" si="17"/>
        <v>0</v>
      </c>
      <c r="BA11" s="32">
        <f t="shared" si="18"/>
        <v>0</v>
      </c>
      <c r="BB11" s="30">
        <v>0</v>
      </c>
      <c r="BC11" s="31">
        <f t="shared" si="44"/>
        <v>0</v>
      </c>
      <c r="BD11" s="31">
        <f t="shared" si="45"/>
        <v>0</v>
      </c>
      <c r="BE11" s="31">
        <f t="shared" si="46"/>
        <v>0</v>
      </c>
      <c r="BF11" s="31">
        <f t="shared" si="47"/>
        <v>0</v>
      </c>
      <c r="BG11" s="32">
        <f t="shared" si="48"/>
        <v>0</v>
      </c>
      <c r="BH11" s="33">
        <f t="shared" si="50"/>
        <v>0</v>
      </c>
      <c r="BJ11" s="31" t="s">
        <v>14</v>
      </c>
      <c r="BK11" s="49" t="e">
        <f t="shared" si="20"/>
        <v>#VALUE!</v>
      </c>
      <c r="BL11" s="49" t="s">
        <v>58</v>
      </c>
      <c r="BM11" s="49">
        <f t="shared" si="21"/>
        <v>0</v>
      </c>
      <c r="BN11" s="49">
        <f t="shared" si="22"/>
        <v>0</v>
      </c>
      <c r="BP11" s="50">
        <f>税率!C48</f>
        <v>0</v>
      </c>
      <c r="BQ11" s="49" t="e">
        <f t="shared" si="23"/>
        <v>#VALUE!</v>
      </c>
      <c r="BR11" s="51" t="str">
        <f t="shared" si="24"/>
        <v>-</v>
      </c>
    </row>
    <row r="12" spans="1:70" x14ac:dyDescent="0.15">
      <c r="A12" s="31" t="s">
        <v>15</v>
      </c>
      <c r="B12" s="159">
        <f>概算シート!G13</f>
        <v>0</v>
      </c>
      <c r="C12" s="37">
        <f t="shared" si="49"/>
        <v>0</v>
      </c>
      <c r="D12" s="36">
        <f t="shared" si="0"/>
        <v>0</v>
      </c>
      <c r="E12" s="23">
        <f t="shared" si="25"/>
        <v>0</v>
      </c>
      <c r="F12" s="23">
        <f t="shared" si="26"/>
        <v>0</v>
      </c>
      <c r="G12" s="23">
        <f t="shared" si="27"/>
        <v>0</v>
      </c>
      <c r="H12" s="23">
        <f t="shared" si="28"/>
        <v>0</v>
      </c>
      <c r="I12" s="23">
        <f t="shared" si="29"/>
        <v>0</v>
      </c>
      <c r="J12" s="23">
        <f t="shared" si="30"/>
        <v>0</v>
      </c>
      <c r="K12" s="23">
        <f t="shared" si="31"/>
        <v>0</v>
      </c>
      <c r="L12" s="23">
        <f t="shared" si="32"/>
        <v>0</v>
      </c>
      <c r="M12" s="23">
        <f t="shared" si="2"/>
        <v>0</v>
      </c>
      <c r="N12" s="23">
        <f t="shared" si="33"/>
        <v>0</v>
      </c>
      <c r="O12" s="23">
        <f t="shared" si="1"/>
        <v>0</v>
      </c>
      <c r="P12" s="14"/>
      <c r="Q12" s="31" t="s">
        <v>15</v>
      </c>
      <c r="R12" s="160" t="s">
        <v>57</v>
      </c>
      <c r="S12" s="161" t="s">
        <v>57</v>
      </c>
      <c r="T12" s="160" t="s">
        <v>57</v>
      </c>
      <c r="U12" s="24" t="s">
        <v>57</v>
      </c>
      <c r="V12" s="25">
        <v>0</v>
      </c>
      <c r="W12" s="26">
        <f t="shared" si="3"/>
        <v>0</v>
      </c>
      <c r="X12" s="26">
        <f t="shared" si="4"/>
        <v>0</v>
      </c>
      <c r="Y12" s="26">
        <f t="shared" si="5"/>
        <v>0</v>
      </c>
      <c r="Z12" s="26">
        <f t="shared" si="6"/>
        <v>0</v>
      </c>
      <c r="AA12" s="27">
        <f t="shared" si="7"/>
        <v>0</v>
      </c>
      <c r="AB12" s="25">
        <v>0</v>
      </c>
      <c r="AC12" s="26">
        <f t="shared" si="8"/>
        <v>0</v>
      </c>
      <c r="AD12" s="26">
        <f t="shared" si="9"/>
        <v>0</v>
      </c>
      <c r="AE12" s="26">
        <f t="shared" si="10"/>
        <v>0</v>
      </c>
      <c r="AF12" s="26">
        <f t="shared" si="11"/>
        <v>0</v>
      </c>
      <c r="AG12" s="27">
        <f t="shared" si="12"/>
        <v>0</v>
      </c>
      <c r="AH12" s="25">
        <v>0</v>
      </c>
      <c r="AI12" s="26">
        <f t="shared" si="34"/>
        <v>0</v>
      </c>
      <c r="AJ12" s="26">
        <f t="shared" si="35"/>
        <v>0</v>
      </c>
      <c r="AK12" s="26">
        <f t="shared" si="36"/>
        <v>0</v>
      </c>
      <c r="AL12" s="26">
        <f t="shared" si="37"/>
        <v>0</v>
      </c>
      <c r="AM12" s="27">
        <f t="shared" si="38"/>
        <v>0</v>
      </c>
      <c r="AN12" s="28">
        <f t="shared" si="13"/>
        <v>0</v>
      </c>
      <c r="AO12" s="29">
        <f>税率!D49</f>
        <v>0</v>
      </c>
      <c r="AP12" s="30">
        <v>0</v>
      </c>
      <c r="AQ12" s="31">
        <f t="shared" si="39"/>
        <v>0</v>
      </c>
      <c r="AR12" s="31">
        <f t="shared" si="40"/>
        <v>0</v>
      </c>
      <c r="AS12" s="31">
        <f t="shared" si="41"/>
        <v>0</v>
      </c>
      <c r="AT12" s="31">
        <f t="shared" si="42"/>
        <v>0</v>
      </c>
      <c r="AU12" s="32">
        <f t="shared" si="43"/>
        <v>0</v>
      </c>
      <c r="AV12" s="30">
        <v>0</v>
      </c>
      <c r="AW12" s="31">
        <f t="shared" si="14"/>
        <v>0</v>
      </c>
      <c r="AX12" s="31">
        <f t="shared" si="15"/>
        <v>0</v>
      </c>
      <c r="AY12" s="31">
        <f t="shared" si="16"/>
        <v>0</v>
      </c>
      <c r="AZ12" s="31">
        <f t="shared" si="17"/>
        <v>0</v>
      </c>
      <c r="BA12" s="32">
        <f t="shared" si="18"/>
        <v>0</v>
      </c>
      <c r="BB12" s="30">
        <v>0</v>
      </c>
      <c r="BC12" s="31">
        <f t="shared" si="44"/>
        <v>0</v>
      </c>
      <c r="BD12" s="31">
        <f t="shared" si="45"/>
        <v>0</v>
      </c>
      <c r="BE12" s="31">
        <f t="shared" si="46"/>
        <v>0</v>
      </c>
      <c r="BF12" s="31">
        <f t="shared" si="47"/>
        <v>0</v>
      </c>
      <c r="BG12" s="32">
        <f t="shared" si="48"/>
        <v>0</v>
      </c>
      <c r="BH12" s="33">
        <f t="shared" si="50"/>
        <v>0</v>
      </c>
      <c r="BJ12" s="31" t="s">
        <v>15</v>
      </c>
      <c r="BK12" s="49" t="e">
        <f t="shared" si="20"/>
        <v>#VALUE!</v>
      </c>
      <c r="BL12" s="49" t="s">
        <v>58</v>
      </c>
      <c r="BM12" s="49">
        <f t="shared" si="21"/>
        <v>0</v>
      </c>
      <c r="BN12" s="49">
        <f t="shared" si="22"/>
        <v>0</v>
      </c>
      <c r="BP12" s="50">
        <f>税率!C49</f>
        <v>0</v>
      </c>
      <c r="BQ12" s="49" t="e">
        <f t="shared" si="23"/>
        <v>#VALUE!</v>
      </c>
      <c r="BR12" s="51" t="str">
        <f t="shared" si="24"/>
        <v>-</v>
      </c>
    </row>
    <row r="13" spans="1:70" x14ac:dyDescent="0.15">
      <c r="A13" s="31" t="s">
        <v>16</v>
      </c>
      <c r="B13" s="159">
        <f>概算シート!G14</f>
        <v>0</v>
      </c>
      <c r="C13" s="37">
        <f t="shared" si="49"/>
        <v>0</v>
      </c>
      <c r="D13" s="36">
        <f t="shared" si="0"/>
        <v>0</v>
      </c>
      <c r="E13" s="23">
        <f t="shared" si="25"/>
        <v>0</v>
      </c>
      <c r="F13" s="23">
        <f t="shared" si="26"/>
        <v>0</v>
      </c>
      <c r="G13" s="23">
        <f t="shared" si="27"/>
        <v>0</v>
      </c>
      <c r="H13" s="23">
        <f t="shared" si="28"/>
        <v>0</v>
      </c>
      <c r="I13" s="23">
        <f t="shared" si="29"/>
        <v>0</v>
      </c>
      <c r="J13" s="23">
        <f t="shared" si="30"/>
        <v>0</v>
      </c>
      <c r="K13" s="23">
        <f t="shared" si="31"/>
        <v>0</v>
      </c>
      <c r="L13" s="23">
        <f t="shared" si="32"/>
        <v>0</v>
      </c>
      <c r="M13" s="23">
        <f t="shared" si="2"/>
        <v>0</v>
      </c>
      <c r="N13" s="23">
        <f t="shared" si="33"/>
        <v>0</v>
      </c>
      <c r="O13" s="23">
        <f t="shared" si="1"/>
        <v>0</v>
      </c>
      <c r="P13" s="14"/>
      <c r="Q13" s="31" t="s">
        <v>16</v>
      </c>
      <c r="R13" s="160" t="s">
        <v>57</v>
      </c>
      <c r="S13" s="161" t="s">
        <v>57</v>
      </c>
      <c r="T13" s="160" t="s">
        <v>62</v>
      </c>
      <c r="U13" s="24" t="s">
        <v>57</v>
      </c>
      <c r="V13" s="25">
        <v>0</v>
      </c>
      <c r="W13" s="26">
        <f t="shared" si="3"/>
        <v>0</v>
      </c>
      <c r="X13" s="26">
        <f t="shared" si="4"/>
        <v>0</v>
      </c>
      <c r="Y13" s="26">
        <f t="shared" si="5"/>
        <v>0</v>
      </c>
      <c r="Z13" s="26">
        <f t="shared" si="6"/>
        <v>0</v>
      </c>
      <c r="AA13" s="27">
        <f t="shared" si="7"/>
        <v>0</v>
      </c>
      <c r="AB13" s="25">
        <v>0</v>
      </c>
      <c r="AC13" s="26">
        <f t="shared" si="8"/>
        <v>0</v>
      </c>
      <c r="AD13" s="26">
        <f t="shared" si="9"/>
        <v>0</v>
      </c>
      <c r="AE13" s="26">
        <f t="shared" si="10"/>
        <v>0</v>
      </c>
      <c r="AF13" s="26">
        <f t="shared" si="11"/>
        <v>0</v>
      </c>
      <c r="AG13" s="27">
        <f t="shared" si="12"/>
        <v>0</v>
      </c>
      <c r="AH13" s="25">
        <v>0</v>
      </c>
      <c r="AI13" s="26">
        <f t="shared" si="34"/>
        <v>0</v>
      </c>
      <c r="AJ13" s="26">
        <f t="shared" si="35"/>
        <v>0</v>
      </c>
      <c r="AK13" s="26">
        <f t="shared" si="36"/>
        <v>0</v>
      </c>
      <c r="AL13" s="26">
        <f t="shared" si="37"/>
        <v>0</v>
      </c>
      <c r="AM13" s="27">
        <f t="shared" si="38"/>
        <v>0</v>
      </c>
      <c r="AN13" s="28">
        <f t="shared" si="13"/>
        <v>0</v>
      </c>
      <c r="AO13" s="29">
        <f>税率!D50</f>
        <v>0</v>
      </c>
      <c r="AP13" s="30">
        <v>0</v>
      </c>
      <c r="AQ13" s="31">
        <f t="shared" si="39"/>
        <v>0</v>
      </c>
      <c r="AR13" s="31">
        <f t="shared" si="40"/>
        <v>0</v>
      </c>
      <c r="AS13" s="31">
        <f t="shared" si="41"/>
        <v>0</v>
      </c>
      <c r="AT13" s="31">
        <f t="shared" si="42"/>
        <v>0</v>
      </c>
      <c r="AU13" s="32">
        <f t="shared" si="43"/>
        <v>0</v>
      </c>
      <c r="AV13" s="30">
        <v>0</v>
      </c>
      <c r="AW13" s="31">
        <f t="shared" si="14"/>
        <v>0</v>
      </c>
      <c r="AX13" s="31">
        <f t="shared" si="15"/>
        <v>0</v>
      </c>
      <c r="AY13" s="31">
        <f t="shared" si="16"/>
        <v>0</v>
      </c>
      <c r="AZ13" s="31">
        <f t="shared" si="17"/>
        <v>0</v>
      </c>
      <c r="BA13" s="32">
        <f t="shared" si="18"/>
        <v>0</v>
      </c>
      <c r="BB13" s="30">
        <v>0</v>
      </c>
      <c r="BC13" s="31">
        <f t="shared" si="44"/>
        <v>0</v>
      </c>
      <c r="BD13" s="31">
        <f t="shared" si="45"/>
        <v>0</v>
      </c>
      <c r="BE13" s="31">
        <f t="shared" si="46"/>
        <v>0</v>
      </c>
      <c r="BF13" s="31">
        <f t="shared" si="47"/>
        <v>0</v>
      </c>
      <c r="BG13" s="32">
        <f t="shared" si="48"/>
        <v>0</v>
      </c>
      <c r="BH13" s="33">
        <f t="shared" si="50"/>
        <v>0</v>
      </c>
      <c r="BJ13" s="31" t="s">
        <v>16</v>
      </c>
      <c r="BK13" s="49" t="e">
        <f t="shared" si="20"/>
        <v>#VALUE!</v>
      </c>
      <c r="BL13" s="49" t="s">
        <v>59</v>
      </c>
      <c r="BM13" s="49">
        <f t="shared" si="21"/>
        <v>0</v>
      </c>
      <c r="BN13" s="49">
        <f t="shared" si="22"/>
        <v>0</v>
      </c>
      <c r="BP13" s="50">
        <f>税率!C50</f>
        <v>0</v>
      </c>
      <c r="BQ13" s="49" t="e">
        <f t="shared" si="23"/>
        <v>#VALUE!</v>
      </c>
      <c r="BR13" s="51" t="str">
        <f t="shared" si="24"/>
        <v>-</v>
      </c>
    </row>
    <row r="14" spans="1:70" x14ac:dyDescent="0.15">
      <c r="A14" s="31" t="s">
        <v>17</v>
      </c>
      <c r="B14" s="159">
        <f>概算シート!G15</f>
        <v>0</v>
      </c>
      <c r="C14" s="37">
        <f t="shared" si="49"/>
        <v>0</v>
      </c>
      <c r="D14" s="36">
        <f t="shared" si="0"/>
        <v>0</v>
      </c>
      <c r="E14" s="23">
        <f t="shared" si="25"/>
        <v>0</v>
      </c>
      <c r="F14" s="23">
        <f t="shared" si="26"/>
        <v>0</v>
      </c>
      <c r="G14" s="23">
        <f t="shared" si="27"/>
        <v>0</v>
      </c>
      <c r="H14" s="23">
        <f t="shared" si="28"/>
        <v>0</v>
      </c>
      <c r="I14" s="23">
        <f t="shared" si="29"/>
        <v>0</v>
      </c>
      <c r="J14" s="23">
        <f t="shared" si="30"/>
        <v>0</v>
      </c>
      <c r="K14" s="23">
        <f t="shared" si="31"/>
        <v>0</v>
      </c>
      <c r="L14" s="23">
        <f t="shared" si="32"/>
        <v>0</v>
      </c>
      <c r="M14" s="23">
        <f t="shared" si="2"/>
        <v>0</v>
      </c>
      <c r="N14" s="23">
        <f t="shared" si="33"/>
        <v>0</v>
      </c>
      <c r="O14" s="23">
        <f t="shared" si="1"/>
        <v>0</v>
      </c>
      <c r="P14" s="14"/>
      <c r="Q14" s="31" t="s">
        <v>17</v>
      </c>
      <c r="R14" s="160" t="s">
        <v>57</v>
      </c>
      <c r="S14" s="161" t="s">
        <v>57</v>
      </c>
      <c r="T14" s="160" t="s">
        <v>60</v>
      </c>
      <c r="U14" s="24" t="s">
        <v>57</v>
      </c>
      <c r="V14" s="25">
        <v>0</v>
      </c>
      <c r="W14" s="26">
        <f t="shared" si="3"/>
        <v>0</v>
      </c>
      <c r="X14" s="26">
        <f t="shared" si="4"/>
        <v>0</v>
      </c>
      <c r="Y14" s="26">
        <f t="shared" si="5"/>
        <v>0</v>
      </c>
      <c r="Z14" s="26">
        <f t="shared" si="6"/>
        <v>0</v>
      </c>
      <c r="AA14" s="27">
        <f t="shared" si="7"/>
        <v>0</v>
      </c>
      <c r="AB14" s="25">
        <v>0</v>
      </c>
      <c r="AC14" s="26">
        <f t="shared" si="8"/>
        <v>0</v>
      </c>
      <c r="AD14" s="26">
        <f t="shared" si="9"/>
        <v>0</v>
      </c>
      <c r="AE14" s="26">
        <f t="shared" si="10"/>
        <v>0</v>
      </c>
      <c r="AF14" s="26">
        <f t="shared" si="11"/>
        <v>0</v>
      </c>
      <c r="AG14" s="27">
        <f t="shared" si="12"/>
        <v>0</v>
      </c>
      <c r="AH14" s="25">
        <v>0</v>
      </c>
      <c r="AI14" s="26">
        <f t="shared" si="34"/>
        <v>0</v>
      </c>
      <c r="AJ14" s="26">
        <f t="shared" si="35"/>
        <v>0</v>
      </c>
      <c r="AK14" s="26">
        <f t="shared" si="36"/>
        <v>0</v>
      </c>
      <c r="AL14" s="26">
        <f t="shared" si="37"/>
        <v>0</v>
      </c>
      <c r="AM14" s="27">
        <f t="shared" si="38"/>
        <v>0</v>
      </c>
      <c r="AN14" s="28">
        <f t="shared" si="13"/>
        <v>0</v>
      </c>
      <c r="AO14" s="29">
        <f>税率!D51</f>
        <v>0</v>
      </c>
      <c r="AP14" s="30">
        <v>0</v>
      </c>
      <c r="AQ14" s="31">
        <f t="shared" si="39"/>
        <v>0</v>
      </c>
      <c r="AR14" s="31">
        <f t="shared" si="40"/>
        <v>0</v>
      </c>
      <c r="AS14" s="31">
        <f t="shared" si="41"/>
        <v>0</v>
      </c>
      <c r="AT14" s="31">
        <f t="shared" si="42"/>
        <v>0</v>
      </c>
      <c r="AU14" s="32">
        <f t="shared" si="43"/>
        <v>0</v>
      </c>
      <c r="AV14" s="30">
        <v>0</v>
      </c>
      <c r="AW14" s="31">
        <f t="shared" si="14"/>
        <v>0</v>
      </c>
      <c r="AX14" s="31">
        <f t="shared" si="15"/>
        <v>0</v>
      </c>
      <c r="AY14" s="31">
        <f t="shared" si="16"/>
        <v>0</v>
      </c>
      <c r="AZ14" s="31">
        <f t="shared" si="17"/>
        <v>0</v>
      </c>
      <c r="BA14" s="32">
        <f t="shared" si="18"/>
        <v>0</v>
      </c>
      <c r="BB14" s="30">
        <v>0</v>
      </c>
      <c r="BC14" s="31">
        <f t="shared" si="44"/>
        <v>0</v>
      </c>
      <c r="BD14" s="31">
        <f t="shared" si="45"/>
        <v>0</v>
      </c>
      <c r="BE14" s="31">
        <f t="shared" si="46"/>
        <v>0</v>
      </c>
      <c r="BF14" s="31">
        <f t="shared" si="47"/>
        <v>0</v>
      </c>
      <c r="BG14" s="32">
        <f t="shared" si="48"/>
        <v>0</v>
      </c>
      <c r="BH14" s="33">
        <f t="shared" si="50"/>
        <v>0</v>
      </c>
      <c r="BJ14" s="31" t="s">
        <v>17</v>
      </c>
      <c r="BK14" s="49" t="e">
        <f t="shared" si="20"/>
        <v>#VALUE!</v>
      </c>
      <c r="BL14" s="49" t="s">
        <v>58</v>
      </c>
      <c r="BM14" s="49">
        <f t="shared" si="21"/>
        <v>0</v>
      </c>
      <c r="BN14" s="49">
        <f t="shared" si="22"/>
        <v>0</v>
      </c>
      <c r="BP14" s="50">
        <f>税率!C51</f>
        <v>0</v>
      </c>
      <c r="BQ14" s="49" t="e">
        <f t="shared" si="23"/>
        <v>#VALUE!</v>
      </c>
      <c r="BR14" s="51" t="str">
        <f t="shared" si="24"/>
        <v>-</v>
      </c>
    </row>
  </sheetData>
  <sheetProtection formatCells="0" selectLockedCells="1"/>
  <mergeCells count="16">
    <mergeCell ref="BQ2:BQ4"/>
    <mergeCell ref="BR2:BR4"/>
    <mergeCell ref="S3:S4"/>
    <mergeCell ref="AN3:AN4"/>
    <mergeCell ref="BH3:BH4"/>
    <mergeCell ref="BJ3:BJ4"/>
    <mergeCell ref="R3:R4"/>
    <mergeCell ref="B2:C2"/>
    <mergeCell ref="R2:AO2"/>
    <mergeCell ref="BJ2:BN2"/>
    <mergeCell ref="BP2:BP4"/>
    <mergeCell ref="A3:A4"/>
    <mergeCell ref="B3:B4"/>
    <mergeCell ref="C3:C4"/>
    <mergeCell ref="O3:O4"/>
    <mergeCell ref="Q3:Q4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workbookViewId="0">
      <selection activeCell="K3" sqref="K3"/>
    </sheetView>
  </sheetViews>
  <sheetFormatPr defaultRowHeight="13.5" x14ac:dyDescent="0.15"/>
  <cols>
    <col min="1" max="1" width="4.25" customWidth="1"/>
    <col min="2" max="2" width="10.25" customWidth="1"/>
    <col min="3" max="3" width="9.75" bestFit="1" customWidth="1"/>
    <col min="4" max="4" width="3.375" bestFit="1" customWidth="1"/>
    <col min="5" max="5" width="9.5" bestFit="1" customWidth="1"/>
    <col min="6" max="6" width="13.625" customWidth="1"/>
    <col min="7" max="7" width="15.25" customWidth="1"/>
    <col min="8" max="19" width="7.875" customWidth="1"/>
  </cols>
  <sheetData>
    <row r="1" spans="1:7" ht="14.25" thickBot="1" x14ac:dyDescent="0.2"/>
    <row r="2" spans="1:7" ht="31.7" customHeight="1" thickBot="1" x14ac:dyDescent="0.2">
      <c r="B2" s="59">
        <f>税率!B1</f>
        <v>2024</v>
      </c>
      <c r="C2" t="s">
        <v>80</v>
      </c>
      <c r="F2" s="60" t="s">
        <v>89</v>
      </c>
      <c r="G2">
        <f>IF(概算シート!B18&lt;4,概算シート!B18+12,概算シート!B18)</f>
        <v>4</v>
      </c>
    </row>
    <row r="3" spans="1:7" ht="27.75" thickBot="1" x14ac:dyDescent="0.2">
      <c r="A3" t="s">
        <v>81</v>
      </c>
      <c r="F3" s="52" t="s">
        <v>88</v>
      </c>
      <c r="G3" s="73" t="s">
        <v>87</v>
      </c>
    </row>
    <row r="4" spans="1:7" x14ac:dyDescent="0.15">
      <c r="A4" s="70"/>
      <c r="B4" s="71"/>
      <c r="C4" s="72">
        <v>0</v>
      </c>
      <c r="D4" s="71"/>
      <c r="E4" s="71"/>
      <c r="F4" s="71">
        <v>0</v>
      </c>
      <c r="G4" s="77">
        <v>0</v>
      </c>
    </row>
    <row r="5" spans="1:7" x14ac:dyDescent="0.15">
      <c r="A5" s="301" t="s">
        <v>85</v>
      </c>
      <c r="B5" s="61">
        <v>4</v>
      </c>
      <c r="C5" s="62">
        <f>DATE($B$2-65,B5+1,2)</f>
        <v>21672</v>
      </c>
      <c r="D5" s="63" t="s">
        <v>82</v>
      </c>
      <c r="E5" s="64">
        <f>DATE($B$2-65,B5+2,1)</f>
        <v>21702</v>
      </c>
      <c r="F5" s="74">
        <v>1</v>
      </c>
      <c r="G5" s="78">
        <f>IF(F5-(G$2-4)&lt;0,0,F5-(G$2-4))</f>
        <v>1</v>
      </c>
    </row>
    <row r="6" spans="1:7" x14ac:dyDescent="0.15">
      <c r="A6" s="301"/>
      <c r="B6" s="61">
        <v>5</v>
      </c>
      <c r="C6" s="62">
        <f t="shared" ref="C6:C13" si="0">DATE($B$2-65,B6+1,2)</f>
        <v>21703</v>
      </c>
      <c r="D6" s="63" t="s">
        <v>83</v>
      </c>
      <c r="E6" s="64">
        <f t="shared" ref="E6:E13" si="1">DATE($B$2-65,B6+2,1)</f>
        <v>21732</v>
      </c>
      <c r="F6" s="74">
        <v>2</v>
      </c>
      <c r="G6" s="78">
        <f t="shared" ref="G6:G16" si="2">IF(F6-(G$2-4)&lt;0,0,F6-(G$2-4))</f>
        <v>2</v>
      </c>
    </row>
    <row r="7" spans="1:7" x14ac:dyDescent="0.15">
      <c r="A7" s="301"/>
      <c r="B7" s="61">
        <v>6</v>
      </c>
      <c r="C7" s="62">
        <f t="shared" si="0"/>
        <v>21733</v>
      </c>
      <c r="D7" s="63" t="s">
        <v>83</v>
      </c>
      <c r="E7" s="64">
        <f t="shared" si="1"/>
        <v>21763</v>
      </c>
      <c r="F7" s="74">
        <v>3</v>
      </c>
      <c r="G7" s="78">
        <f t="shared" si="2"/>
        <v>3</v>
      </c>
    </row>
    <row r="8" spans="1:7" x14ac:dyDescent="0.15">
      <c r="A8" s="301"/>
      <c r="B8" s="61">
        <v>7</v>
      </c>
      <c r="C8" s="62">
        <f t="shared" si="0"/>
        <v>21764</v>
      </c>
      <c r="D8" s="63" t="s">
        <v>82</v>
      </c>
      <c r="E8" s="64">
        <f t="shared" si="1"/>
        <v>21794</v>
      </c>
      <c r="F8" s="74">
        <v>4</v>
      </c>
      <c r="G8" s="78">
        <f t="shared" si="2"/>
        <v>4</v>
      </c>
    </row>
    <row r="9" spans="1:7" x14ac:dyDescent="0.15">
      <c r="A9" s="301"/>
      <c r="B9" s="61">
        <v>8</v>
      </c>
      <c r="C9" s="62">
        <f t="shared" si="0"/>
        <v>21795</v>
      </c>
      <c r="D9" s="63" t="s">
        <v>83</v>
      </c>
      <c r="E9" s="64">
        <f t="shared" si="1"/>
        <v>21824</v>
      </c>
      <c r="F9" s="74">
        <v>5</v>
      </c>
      <c r="G9" s="78">
        <f t="shared" si="2"/>
        <v>5</v>
      </c>
    </row>
    <row r="10" spans="1:7" x14ac:dyDescent="0.15">
      <c r="A10" s="301"/>
      <c r="B10" s="61">
        <v>9</v>
      </c>
      <c r="C10" s="62">
        <f t="shared" si="0"/>
        <v>21825</v>
      </c>
      <c r="D10" s="63" t="s">
        <v>82</v>
      </c>
      <c r="E10" s="64">
        <f t="shared" si="1"/>
        <v>21855</v>
      </c>
      <c r="F10" s="74">
        <v>6</v>
      </c>
      <c r="G10" s="78">
        <f t="shared" si="2"/>
        <v>6</v>
      </c>
    </row>
    <row r="11" spans="1:7" x14ac:dyDescent="0.15">
      <c r="A11" s="301"/>
      <c r="B11" s="61">
        <v>10</v>
      </c>
      <c r="C11" s="62">
        <f t="shared" si="0"/>
        <v>21856</v>
      </c>
      <c r="D11" s="63" t="s">
        <v>83</v>
      </c>
      <c r="E11" s="64">
        <f t="shared" si="1"/>
        <v>21885</v>
      </c>
      <c r="F11" s="74">
        <v>7</v>
      </c>
      <c r="G11" s="78">
        <f t="shared" si="2"/>
        <v>7</v>
      </c>
    </row>
    <row r="12" spans="1:7" x14ac:dyDescent="0.15">
      <c r="A12" s="301"/>
      <c r="B12" s="61">
        <v>11</v>
      </c>
      <c r="C12" s="62">
        <f t="shared" si="0"/>
        <v>21886</v>
      </c>
      <c r="D12" s="63" t="s">
        <v>82</v>
      </c>
      <c r="E12" s="64">
        <f t="shared" si="1"/>
        <v>21916</v>
      </c>
      <c r="F12" s="74">
        <v>8</v>
      </c>
      <c r="G12" s="78">
        <f t="shared" si="2"/>
        <v>8</v>
      </c>
    </row>
    <row r="13" spans="1:7" x14ac:dyDescent="0.15">
      <c r="A13" s="301"/>
      <c r="B13" s="61">
        <v>12</v>
      </c>
      <c r="C13" s="62">
        <f t="shared" si="0"/>
        <v>21917</v>
      </c>
      <c r="D13" s="63" t="s">
        <v>82</v>
      </c>
      <c r="E13" s="64">
        <f t="shared" si="1"/>
        <v>21947</v>
      </c>
      <c r="F13" s="74">
        <v>9</v>
      </c>
      <c r="G13" s="78">
        <f t="shared" si="2"/>
        <v>9</v>
      </c>
    </row>
    <row r="14" spans="1:7" x14ac:dyDescent="0.15">
      <c r="A14" s="301"/>
      <c r="B14" s="61">
        <v>1</v>
      </c>
      <c r="C14" s="62">
        <f>DATE($B$2-64,B14+1,2)</f>
        <v>21948</v>
      </c>
      <c r="D14" s="63" t="s">
        <v>82</v>
      </c>
      <c r="E14" s="64">
        <f>DATE($B$2-64,B14+2,1)</f>
        <v>21976</v>
      </c>
      <c r="F14" s="74">
        <v>10</v>
      </c>
      <c r="G14" s="78">
        <f t="shared" si="2"/>
        <v>10</v>
      </c>
    </row>
    <row r="15" spans="1:7" x14ac:dyDescent="0.15">
      <c r="A15" s="301"/>
      <c r="B15" s="61">
        <v>2</v>
      </c>
      <c r="C15" s="62">
        <f t="shared" ref="C15:C16" si="3">DATE($B$2-64,B15+1,2)</f>
        <v>21977</v>
      </c>
      <c r="D15" s="63" t="s">
        <v>82</v>
      </c>
      <c r="E15" s="64">
        <f t="shared" ref="E15:E16" si="4">DATE($B$2-64,B15+2,1)</f>
        <v>22007</v>
      </c>
      <c r="F15" s="74">
        <v>11</v>
      </c>
      <c r="G15" s="78">
        <f t="shared" si="2"/>
        <v>11</v>
      </c>
    </row>
    <row r="16" spans="1:7" x14ac:dyDescent="0.15">
      <c r="A16" s="301"/>
      <c r="B16" s="61">
        <v>3</v>
      </c>
      <c r="C16" s="62">
        <f t="shared" si="3"/>
        <v>22008</v>
      </c>
      <c r="D16" s="63" t="s">
        <v>82</v>
      </c>
      <c r="E16" s="64">
        <f t="shared" si="4"/>
        <v>22037</v>
      </c>
      <c r="F16" s="74">
        <v>12</v>
      </c>
      <c r="G16" s="78">
        <f t="shared" si="2"/>
        <v>12</v>
      </c>
    </row>
    <row r="17" spans="1:7" x14ac:dyDescent="0.15">
      <c r="A17" s="300" t="s">
        <v>84</v>
      </c>
      <c r="B17" s="66">
        <v>4</v>
      </c>
      <c r="C17" s="67">
        <f>DATE($B$2-40,B17,2)</f>
        <v>30774</v>
      </c>
      <c r="D17" s="68" t="s">
        <v>82</v>
      </c>
      <c r="E17" s="69">
        <f>DATE($B$2-40,B17+1,1)</f>
        <v>30803</v>
      </c>
      <c r="F17" s="75">
        <v>12</v>
      </c>
      <c r="G17" s="79">
        <f>IF(G$2&lt;=IF(B17&lt;4,B17+12,B17),F17,F17-(G$2-IF(B17&lt;4,B17+12,B17)))</f>
        <v>12</v>
      </c>
    </row>
    <row r="18" spans="1:7" x14ac:dyDescent="0.15">
      <c r="A18" s="300"/>
      <c r="B18" s="66">
        <v>5</v>
      </c>
      <c r="C18" s="67">
        <f t="shared" ref="C18:C25" si="5">DATE($B$2-40,B18,2)</f>
        <v>30804</v>
      </c>
      <c r="D18" s="68" t="s">
        <v>82</v>
      </c>
      <c r="E18" s="69">
        <f t="shared" ref="E18:E25" si="6">DATE($B$2-40,B18+1,1)</f>
        <v>30834</v>
      </c>
      <c r="F18" s="75">
        <v>11</v>
      </c>
      <c r="G18" s="79">
        <f t="shared" ref="G18:G28" si="7">IF(G$2&lt;=IF(B18&lt;4,B18+12,B18),F18,F18-(G$2-IF(B18&lt;4,B18+12,B18)))</f>
        <v>11</v>
      </c>
    </row>
    <row r="19" spans="1:7" x14ac:dyDescent="0.15">
      <c r="A19" s="300"/>
      <c r="B19" s="66">
        <v>6</v>
      </c>
      <c r="C19" s="67">
        <f t="shared" si="5"/>
        <v>30835</v>
      </c>
      <c r="D19" s="68" t="s">
        <v>82</v>
      </c>
      <c r="E19" s="69">
        <f t="shared" si="6"/>
        <v>30864</v>
      </c>
      <c r="F19" s="75">
        <v>10</v>
      </c>
      <c r="G19" s="79">
        <f t="shared" si="7"/>
        <v>10</v>
      </c>
    </row>
    <row r="20" spans="1:7" x14ac:dyDescent="0.15">
      <c r="A20" s="300"/>
      <c r="B20" s="66">
        <v>7</v>
      </c>
      <c r="C20" s="67">
        <f t="shared" si="5"/>
        <v>30865</v>
      </c>
      <c r="D20" s="68" t="s">
        <v>82</v>
      </c>
      <c r="E20" s="69">
        <f t="shared" si="6"/>
        <v>30895</v>
      </c>
      <c r="F20" s="75">
        <v>9</v>
      </c>
      <c r="G20" s="79">
        <f t="shared" si="7"/>
        <v>9</v>
      </c>
    </row>
    <row r="21" spans="1:7" x14ac:dyDescent="0.15">
      <c r="A21" s="300"/>
      <c r="B21" s="66">
        <v>8</v>
      </c>
      <c r="C21" s="67">
        <f t="shared" si="5"/>
        <v>30896</v>
      </c>
      <c r="D21" s="68" t="s">
        <v>82</v>
      </c>
      <c r="E21" s="69">
        <f t="shared" si="6"/>
        <v>30926</v>
      </c>
      <c r="F21" s="75">
        <v>8</v>
      </c>
      <c r="G21" s="79">
        <f t="shared" si="7"/>
        <v>8</v>
      </c>
    </row>
    <row r="22" spans="1:7" x14ac:dyDescent="0.15">
      <c r="A22" s="300"/>
      <c r="B22" s="66">
        <v>9</v>
      </c>
      <c r="C22" s="67">
        <f t="shared" si="5"/>
        <v>30927</v>
      </c>
      <c r="D22" s="68" t="s">
        <v>82</v>
      </c>
      <c r="E22" s="69">
        <f t="shared" si="6"/>
        <v>30956</v>
      </c>
      <c r="F22" s="75">
        <v>7</v>
      </c>
      <c r="G22" s="79">
        <f t="shared" si="7"/>
        <v>7</v>
      </c>
    </row>
    <row r="23" spans="1:7" x14ac:dyDescent="0.15">
      <c r="A23" s="300"/>
      <c r="B23" s="66">
        <v>10</v>
      </c>
      <c r="C23" s="67">
        <f t="shared" si="5"/>
        <v>30957</v>
      </c>
      <c r="D23" s="68" t="s">
        <v>82</v>
      </c>
      <c r="E23" s="69">
        <f t="shared" si="6"/>
        <v>30987</v>
      </c>
      <c r="F23" s="75">
        <v>6</v>
      </c>
      <c r="G23" s="79">
        <f t="shared" si="7"/>
        <v>6</v>
      </c>
    </row>
    <row r="24" spans="1:7" x14ac:dyDescent="0.15">
      <c r="A24" s="300"/>
      <c r="B24" s="66">
        <v>11</v>
      </c>
      <c r="C24" s="67">
        <f t="shared" si="5"/>
        <v>30988</v>
      </c>
      <c r="D24" s="68" t="s">
        <v>82</v>
      </c>
      <c r="E24" s="69">
        <f t="shared" si="6"/>
        <v>31017</v>
      </c>
      <c r="F24" s="75">
        <v>5</v>
      </c>
      <c r="G24" s="79">
        <f t="shared" si="7"/>
        <v>5</v>
      </c>
    </row>
    <row r="25" spans="1:7" x14ac:dyDescent="0.15">
      <c r="A25" s="300"/>
      <c r="B25" s="66">
        <v>12</v>
      </c>
      <c r="C25" s="67">
        <f t="shared" si="5"/>
        <v>31018</v>
      </c>
      <c r="D25" s="68" t="s">
        <v>82</v>
      </c>
      <c r="E25" s="69">
        <f t="shared" si="6"/>
        <v>31048</v>
      </c>
      <c r="F25" s="75">
        <v>4</v>
      </c>
      <c r="G25" s="79">
        <f t="shared" si="7"/>
        <v>4</v>
      </c>
    </row>
    <row r="26" spans="1:7" x14ac:dyDescent="0.15">
      <c r="A26" s="300"/>
      <c r="B26" s="66">
        <v>1</v>
      </c>
      <c r="C26" s="67">
        <f>DATE($B$2-39,B26,2)</f>
        <v>31049</v>
      </c>
      <c r="D26" s="68" t="s">
        <v>82</v>
      </c>
      <c r="E26" s="69">
        <f>DATE($B$2-39,B26+1,1)</f>
        <v>31079</v>
      </c>
      <c r="F26" s="75">
        <v>3</v>
      </c>
      <c r="G26" s="79">
        <f t="shared" si="7"/>
        <v>3</v>
      </c>
    </row>
    <row r="27" spans="1:7" x14ac:dyDescent="0.15">
      <c r="A27" s="300"/>
      <c r="B27" s="66">
        <v>2</v>
      </c>
      <c r="C27" s="67">
        <f t="shared" ref="C27:C28" si="8">DATE($B$2-39,B27,2)</f>
        <v>31080</v>
      </c>
      <c r="D27" s="68" t="s">
        <v>83</v>
      </c>
      <c r="E27" s="69">
        <f t="shared" ref="E27:E28" si="9">DATE($B$2-39,B27+1,1)</f>
        <v>31107</v>
      </c>
      <c r="F27" s="75">
        <v>2</v>
      </c>
      <c r="G27" s="79">
        <f t="shared" si="7"/>
        <v>2</v>
      </c>
    </row>
    <row r="28" spans="1:7" x14ac:dyDescent="0.15">
      <c r="A28" s="300"/>
      <c r="B28" s="66">
        <v>3</v>
      </c>
      <c r="C28" s="67">
        <f t="shared" si="8"/>
        <v>31108</v>
      </c>
      <c r="D28" s="68" t="s">
        <v>82</v>
      </c>
      <c r="E28" s="69">
        <f t="shared" si="9"/>
        <v>31138</v>
      </c>
      <c r="F28" s="75">
        <v>1</v>
      </c>
      <c r="G28" s="79">
        <f t="shared" si="7"/>
        <v>1</v>
      </c>
    </row>
    <row r="29" spans="1:7" ht="14.25" thickBot="1" x14ac:dyDescent="0.2">
      <c r="A29" s="70"/>
      <c r="B29" s="71"/>
      <c r="C29" s="72">
        <f>C28+1</f>
        <v>31109</v>
      </c>
      <c r="D29" s="71"/>
      <c r="E29" s="71"/>
      <c r="F29" s="76">
        <v>0</v>
      </c>
      <c r="G29" s="80">
        <v>0</v>
      </c>
    </row>
    <row r="30" spans="1:7" x14ac:dyDescent="0.15">
      <c r="A30" s="2"/>
      <c r="B30" s="2"/>
      <c r="C30" s="190"/>
      <c r="D30" s="2"/>
      <c r="E30" s="2"/>
      <c r="F30" s="57"/>
      <c r="G30" s="57"/>
    </row>
    <row r="31" spans="1:7" x14ac:dyDescent="0.15">
      <c r="A31" s="2"/>
      <c r="B31" s="2"/>
      <c r="C31" s="190"/>
      <c r="D31" s="2"/>
      <c r="E31" s="2"/>
      <c r="F31" s="57"/>
      <c r="G31" s="57"/>
    </row>
    <row r="32" spans="1:7" x14ac:dyDescent="0.15">
      <c r="A32" s="2"/>
      <c r="F32" s="57"/>
      <c r="G32" s="57"/>
    </row>
    <row r="33" spans="1:19" x14ac:dyDescent="0.15">
      <c r="A33" s="2"/>
      <c r="B33" s="1" t="s">
        <v>189</v>
      </c>
      <c r="C33" s="187">
        <f>概算シート!B18</f>
        <v>4</v>
      </c>
      <c r="D33" s="2"/>
      <c r="E33" s="2" t="s">
        <v>190</v>
      </c>
      <c r="F33" s="57"/>
      <c r="G33" s="57"/>
    </row>
    <row r="34" spans="1:19" x14ac:dyDescent="0.15">
      <c r="A34" s="2"/>
      <c r="B34" s="54" t="s">
        <v>191</v>
      </c>
      <c r="C34" s="199">
        <f>IF(C33&lt;4,C33+12,C33)</f>
        <v>4</v>
      </c>
      <c r="D34" s="2"/>
      <c r="E34" s="190" t="s">
        <v>193</v>
      </c>
      <c r="F34" s="57"/>
      <c r="G34" s="57"/>
      <c r="H34" t="s">
        <v>208</v>
      </c>
    </row>
    <row r="35" spans="1:19" x14ac:dyDescent="0.15">
      <c r="A35" s="2"/>
      <c r="B35" s="197" t="s">
        <v>205</v>
      </c>
      <c r="C35" s="200">
        <f>税率!D4/12</f>
        <v>775</v>
      </c>
      <c r="D35" s="2"/>
      <c r="E35" s="2"/>
      <c r="F35" s="57"/>
      <c r="G35" s="57"/>
      <c r="H35" s="163" t="s">
        <v>177</v>
      </c>
      <c r="I35" s="163" t="s">
        <v>178</v>
      </c>
      <c r="J35" s="163" t="s">
        <v>179</v>
      </c>
      <c r="K35" s="163" t="s">
        <v>180</v>
      </c>
      <c r="L35" s="163" t="s">
        <v>181</v>
      </c>
      <c r="M35" s="163" t="s">
        <v>182</v>
      </c>
      <c r="N35" s="163" t="s">
        <v>183</v>
      </c>
      <c r="O35" s="163" t="s">
        <v>184</v>
      </c>
      <c r="P35" s="163" t="s">
        <v>185</v>
      </c>
      <c r="Q35" s="163" t="s">
        <v>186</v>
      </c>
      <c r="R35" s="163" t="s">
        <v>187</v>
      </c>
      <c r="S35" s="163" t="s">
        <v>188</v>
      </c>
    </row>
    <row r="36" spans="1:19" x14ac:dyDescent="0.15">
      <c r="A36" s="2"/>
      <c r="B36" s="197" t="s">
        <v>206</v>
      </c>
      <c r="C36" s="200">
        <f>税率!D5/12</f>
        <v>625</v>
      </c>
      <c r="D36" s="2"/>
      <c r="E36" s="2"/>
      <c r="F36" s="57"/>
      <c r="G36" s="57"/>
      <c r="H36" s="163">
        <v>4</v>
      </c>
      <c r="I36" s="163">
        <v>5</v>
      </c>
      <c r="J36" s="163">
        <v>6</v>
      </c>
      <c r="K36" s="163">
        <v>7</v>
      </c>
      <c r="L36" s="163">
        <v>8</v>
      </c>
      <c r="M36" s="163">
        <v>9</v>
      </c>
      <c r="N36" s="163">
        <v>10</v>
      </c>
      <c r="O36" s="163">
        <v>11</v>
      </c>
      <c r="P36" s="163">
        <v>12</v>
      </c>
      <c r="Q36" s="163">
        <v>13</v>
      </c>
      <c r="R36" s="163">
        <v>14</v>
      </c>
      <c r="S36" s="163">
        <v>15</v>
      </c>
    </row>
    <row r="37" spans="1:19" x14ac:dyDescent="0.15">
      <c r="A37" s="2"/>
      <c r="B37" s="192" t="s">
        <v>214</v>
      </c>
      <c r="C37" s="187">
        <f ca="1">税率!D61</f>
        <v>0</v>
      </c>
      <c r="D37" s="2"/>
      <c r="E37" s="2"/>
      <c r="F37" s="57"/>
      <c r="G37" s="57"/>
      <c r="H37" s="1">
        <f t="shared" ref="H37:S37" si="10">IF($C$34&lt;=H$36,1,0)</f>
        <v>1</v>
      </c>
      <c r="I37" s="1">
        <f t="shared" si="10"/>
        <v>1</v>
      </c>
      <c r="J37" s="1">
        <f t="shared" si="10"/>
        <v>1</v>
      </c>
      <c r="K37" s="1">
        <f t="shared" si="10"/>
        <v>1</v>
      </c>
      <c r="L37" s="1">
        <f t="shared" si="10"/>
        <v>1</v>
      </c>
      <c r="M37" s="1">
        <f t="shared" si="10"/>
        <v>1</v>
      </c>
      <c r="N37" s="1">
        <f t="shared" si="10"/>
        <v>1</v>
      </c>
      <c r="O37" s="1">
        <f t="shared" si="10"/>
        <v>1</v>
      </c>
      <c r="P37" s="1">
        <f t="shared" si="10"/>
        <v>1</v>
      </c>
      <c r="Q37" s="1">
        <f t="shared" si="10"/>
        <v>1</v>
      </c>
      <c r="R37" s="1">
        <f t="shared" si="10"/>
        <v>1</v>
      </c>
      <c r="S37" s="1">
        <f t="shared" si="10"/>
        <v>1</v>
      </c>
    </row>
    <row r="38" spans="1:19" x14ac:dyDescent="0.15">
      <c r="A38" s="2"/>
      <c r="B38" s="196"/>
      <c r="C38" s="190"/>
      <c r="D38" s="2"/>
      <c r="E38" s="2"/>
      <c r="F38" s="57"/>
      <c r="G38" s="57"/>
    </row>
    <row r="39" spans="1:19" x14ac:dyDescent="0.15">
      <c r="A39" s="2"/>
      <c r="B39" s="196"/>
      <c r="C39" s="190"/>
      <c r="D39" s="2"/>
      <c r="E39" s="2"/>
      <c r="F39" s="57"/>
      <c r="G39" s="57"/>
    </row>
    <row r="40" spans="1:19" x14ac:dyDescent="0.15">
      <c r="H40" t="s">
        <v>209</v>
      </c>
    </row>
    <row r="41" spans="1:19" x14ac:dyDescent="0.15">
      <c r="H41" s="163" t="s">
        <v>177</v>
      </c>
      <c r="I41" s="163" t="s">
        <v>178</v>
      </c>
      <c r="J41" s="163" t="s">
        <v>179</v>
      </c>
      <c r="K41" s="163" t="s">
        <v>180</v>
      </c>
      <c r="L41" s="163" t="s">
        <v>181</v>
      </c>
      <c r="M41" s="163" t="s">
        <v>182</v>
      </c>
      <c r="N41" s="163" t="s">
        <v>183</v>
      </c>
      <c r="O41" s="163" t="s">
        <v>184</v>
      </c>
      <c r="P41" s="163" t="s">
        <v>185</v>
      </c>
      <c r="Q41" s="163" t="s">
        <v>186</v>
      </c>
      <c r="R41" s="163" t="s">
        <v>187</v>
      </c>
      <c r="S41" s="163" t="s">
        <v>188</v>
      </c>
    </row>
    <row r="42" spans="1:19" x14ac:dyDescent="0.15">
      <c r="C42" t="s">
        <v>192</v>
      </c>
      <c r="E42" s="65" t="s">
        <v>86</v>
      </c>
      <c r="F42" s="65" t="s">
        <v>207</v>
      </c>
      <c r="G42" s="191" t="s">
        <v>194</v>
      </c>
      <c r="H42" s="163">
        <v>4</v>
      </c>
      <c r="I42" s="163">
        <v>5</v>
      </c>
      <c r="J42" s="163">
        <v>6</v>
      </c>
      <c r="K42" s="163">
        <v>7</v>
      </c>
      <c r="L42" s="163">
        <v>8</v>
      </c>
      <c r="M42" s="163">
        <v>9</v>
      </c>
      <c r="N42" s="163">
        <v>10</v>
      </c>
      <c r="O42" s="163">
        <v>11</v>
      </c>
      <c r="P42" s="163">
        <v>12</v>
      </c>
      <c r="Q42" s="163">
        <v>13</v>
      </c>
      <c r="R42" s="163">
        <v>14</v>
      </c>
      <c r="S42" s="163">
        <v>15</v>
      </c>
    </row>
    <row r="43" spans="1:19" x14ac:dyDescent="0.15">
      <c r="B43" s="53" t="s">
        <v>46</v>
      </c>
      <c r="C43" s="60">
        <f>概算シート!W6</f>
        <v>0</v>
      </c>
      <c r="E43" s="1">
        <f ca="1">税率!C11</f>
        <v>0</v>
      </c>
      <c r="F43" s="1">
        <f ca="1">IF(E43=1,VLOOKUP(C43,介護2号判定!$C$4:$G$29,5,TRUE),0)</f>
        <v>0</v>
      </c>
      <c r="G43" s="70">
        <f>IF(AND(C43&gt;=$C$5,C43&lt;=$E$15),1,0)</f>
        <v>0</v>
      </c>
      <c r="H43" s="1">
        <f ca="1">IF(OR(H$37=0,$F43=0),0,IF($G43=1,IF($F43&gt;=COUNTIF($H$37:H$37,1),1,0),IF(16-$F43&lt;=H$42,1,0)))</f>
        <v>0</v>
      </c>
      <c r="I43" s="1">
        <f ca="1">IF(OR(I$37=0,$F43=0),0,IF($G43=1,IF($F43&gt;=COUNTIF($H$37:I$37,1),1,0),IF(16-$F43&lt;=I$42,1,0)))</f>
        <v>0</v>
      </c>
      <c r="J43" s="1">
        <f ca="1">IF(OR(J$37=0,$F43=0),0,IF($G43=1,IF($F43&gt;=COUNTIF($H$37:J$37,1),1,0),IF(16-$F43&lt;=J$42,1,0)))</f>
        <v>0</v>
      </c>
      <c r="K43" s="1">
        <f ca="1">IF(OR(K$37=0,$F43=0),0,IF($G43=1,IF($F43&gt;=COUNTIF($H$37:K$37,1),1,0),IF(16-$F43&lt;=K$42,1,0)))</f>
        <v>0</v>
      </c>
      <c r="L43" s="1">
        <f ca="1">IF(OR(L$37=0,$F43=0),0,IF($G43=1,IF($F43&gt;=COUNTIF($H$37:L$37,1),1,0),IF(16-$F43&lt;=L$42,1,0)))</f>
        <v>0</v>
      </c>
      <c r="M43" s="1">
        <f ca="1">IF(OR(M$37=0,$F43=0),0,IF($G43=1,IF($F43&gt;=COUNTIF($H$37:M$37,1),1,0),IF(16-$F43&lt;=M$42,1,0)))</f>
        <v>0</v>
      </c>
      <c r="N43" s="1">
        <f ca="1">IF(OR(N$37=0,$F43=0),0,IF($G43=1,IF($F43&gt;=COUNTIF($H$37:N$37,1),1,0),IF(16-$F43&lt;=N$42,1,0)))</f>
        <v>0</v>
      </c>
      <c r="O43" s="1">
        <f ca="1">IF(OR(O$37=0,$F43=0),0,IF($G43=1,IF($F43&gt;=COUNTIF($H$37:O$37,1),1,0),IF(16-$F43&lt;=O$42,1,0)))</f>
        <v>0</v>
      </c>
      <c r="P43" s="1">
        <f ca="1">IF(OR(P$37=0,$F43=0),0,IF($G43=1,IF($F43&gt;=COUNTIF($H$37:P$37,1),1,0),IF(16-$F43&lt;=P$42,1,0)))</f>
        <v>0</v>
      </c>
      <c r="Q43" s="1">
        <f ca="1">IF(OR(Q$37=0,$F43=0),0,IF($G43=1,IF($F43&gt;=COUNTIF($H$37:Q$37,1),1,0),IF(16-$F43&lt;=Q$42,1,0)))</f>
        <v>0</v>
      </c>
      <c r="R43" s="1">
        <f ca="1">IF(OR(R$37=0,$F43=0),0,IF($G43=1,IF($F43&gt;=COUNTIF($H$37:R$37,1),1,0),IF(16-$F43&lt;=R$42,1,0)))</f>
        <v>0</v>
      </c>
      <c r="S43" s="1">
        <f ca="1">IF(OR(S$37=0,$F43=0),0,IF($G43=1,IF($F43&gt;=COUNTIF($H$37:S$37,1),1,0),IF(16-$F43&lt;=S$42,1,0)))</f>
        <v>0</v>
      </c>
    </row>
    <row r="44" spans="1:19" x14ac:dyDescent="0.15">
      <c r="B44" s="53" t="s">
        <v>9</v>
      </c>
      <c r="C44" s="60">
        <f>概算シート!W7</f>
        <v>0</v>
      </c>
      <c r="E44" s="1">
        <f ca="1">税率!C12</f>
        <v>0</v>
      </c>
      <c r="F44" s="1">
        <f ca="1">IF(E44=1,VLOOKUP(C44,介護2号判定!$C$4:$G$29,5,TRUE),0)</f>
        <v>0</v>
      </c>
      <c r="G44" s="70">
        <f t="shared" ref="G44:G52" si="11">IF(AND(C44&gt;=$C$5,C44&lt;=$E$15),1,0)</f>
        <v>0</v>
      </c>
      <c r="H44" s="1">
        <f ca="1">IF(OR(H$37=0,$F44=0),0,IF($G44=1,IF($F44&gt;=COUNTIF($H$37:H$37,1),1,0),IF(16-$F44&lt;=H$42,1,0)))</f>
        <v>0</v>
      </c>
      <c r="I44" s="1">
        <f ca="1">IF(OR(I$37=0,$F44=0),0,IF($G44=1,IF($F44&gt;=COUNTIF($H$37:I$37,1),1,0),IF(16-$F44&lt;=I$42,1,0)))</f>
        <v>0</v>
      </c>
      <c r="J44" s="1">
        <f ca="1">IF(OR(J$37=0,$F44=0),0,IF($G44=1,IF($F44&gt;=COUNTIF($H$37:J$37,1),1,0),IF(16-$F44&lt;=J$42,1,0)))</f>
        <v>0</v>
      </c>
      <c r="K44" s="1">
        <f ca="1">IF(OR(K$37=0,$F44=0),0,IF($G44=1,IF($F44&gt;=COUNTIF($H$37:K$37,1),1,0),IF(16-$F44&lt;=K$42,1,0)))</f>
        <v>0</v>
      </c>
      <c r="L44" s="1">
        <f ca="1">IF(OR(L$37=0,$F44=0),0,IF($G44=1,IF($F44&gt;=COUNTIF($H$37:L$37,1),1,0),IF(16-$F44&lt;=L$42,1,0)))</f>
        <v>0</v>
      </c>
      <c r="M44" s="1">
        <f ca="1">IF(OR(M$37=0,$F44=0),0,IF($G44=1,IF($F44&gt;=COUNTIF($H$37:M$37,1),1,0),IF(16-$F44&lt;=M$42,1,0)))</f>
        <v>0</v>
      </c>
      <c r="N44" s="1">
        <f ca="1">IF(OR(N$37=0,$F44=0),0,IF($G44=1,IF($F44&gt;=COUNTIF($H$37:N$37,1),1,0),IF(16-$F44&lt;=N$42,1,0)))</f>
        <v>0</v>
      </c>
      <c r="O44" s="1">
        <f ca="1">IF(OR(O$37=0,$F44=0),0,IF($G44=1,IF($F44&gt;=COUNTIF($H$37:O$37,1),1,0),IF(16-$F44&lt;=O$42,1,0)))</f>
        <v>0</v>
      </c>
      <c r="P44" s="1">
        <f ca="1">IF(OR(P$37=0,$F44=0),0,IF($G44=1,IF($F44&gt;=COUNTIF($H$37:P$37,1),1,0),IF(16-$F44&lt;=P$42,1,0)))</f>
        <v>0</v>
      </c>
      <c r="Q44" s="1">
        <f ca="1">IF(OR(Q$37=0,$F44=0),0,IF($G44=1,IF($F44&gt;=COUNTIF($H$37:Q$37,1),1,0),IF(16-$F44&lt;=Q$42,1,0)))</f>
        <v>0</v>
      </c>
      <c r="R44" s="1">
        <f ca="1">IF(OR(R$37=0,$F44=0),0,IF($G44=1,IF($F44&gt;=COUNTIF($H$37:R$37,1),1,0),IF(16-$F44&lt;=R$42,1,0)))</f>
        <v>0</v>
      </c>
      <c r="S44" s="1">
        <f ca="1">IF(OR(S$37=0,$F44=0),0,IF($G44=1,IF($F44&gt;=COUNTIF($H$37:S$37,1),1,0),IF(16-$F44&lt;=S$42,1,0)))</f>
        <v>0</v>
      </c>
    </row>
    <row r="45" spans="1:19" x14ac:dyDescent="0.15">
      <c r="B45" s="53" t="s">
        <v>10</v>
      </c>
      <c r="C45" s="60">
        <f>概算シート!W8</f>
        <v>0</v>
      </c>
      <c r="E45" s="1">
        <f ca="1">税率!C13</f>
        <v>0</v>
      </c>
      <c r="F45" s="1">
        <f ca="1">IF(E45=1,VLOOKUP(C45,介護2号判定!$C$4:$G$29,5,TRUE),0)</f>
        <v>0</v>
      </c>
      <c r="G45" s="70">
        <f t="shared" si="11"/>
        <v>0</v>
      </c>
      <c r="H45" s="1">
        <f ca="1">IF(OR(H$37=0,$F45=0),0,IF($G45=1,IF($F45&gt;=COUNTIF($H$37:H$37,1),1,0),IF(16-$F45&lt;=H$42,1,0)))</f>
        <v>0</v>
      </c>
      <c r="I45" s="1">
        <f ca="1">IF(OR(I$37=0,$F45=0),0,IF($G45=1,IF($F45&gt;=COUNTIF($H$37:I$37,1),1,0),IF(16-$F45&lt;=I$42,1,0)))</f>
        <v>0</v>
      </c>
      <c r="J45" s="1">
        <f ca="1">IF(OR(J$37=0,$F45=0),0,IF($G45=1,IF($F45&gt;=COUNTIF($H$37:J$37,1),1,0),IF(16-$F45&lt;=J$42,1,0)))</f>
        <v>0</v>
      </c>
      <c r="K45" s="1">
        <f ca="1">IF(OR(K$37=0,$F45=0),0,IF($G45=1,IF($F45&gt;=COUNTIF($H$37:K$37,1),1,0),IF(16-$F45&lt;=K$42,1,0)))</f>
        <v>0</v>
      </c>
      <c r="L45" s="1">
        <f ca="1">IF(OR(L$37=0,$F45=0),0,IF($G45=1,IF($F45&gt;=COUNTIF($H$37:L$37,1),1,0),IF(16-$F45&lt;=L$42,1,0)))</f>
        <v>0</v>
      </c>
      <c r="M45" s="1">
        <f ca="1">IF(OR(M$37=0,$F45=0),0,IF($G45=1,IF($F45&gt;=COUNTIF($H$37:M$37,1),1,0),IF(16-$F45&lt;=M$42,1,0)))</f>
        <v>0</v>
      </c>
      <c r="N45" s="1">
        <f ca="1">IF(OR(N$37=0,$F45=0),0,IF($G45=1,IF($F45&gt;=COUNTIF($H$37:N$37,1),1,0),IF(16-$F45&lt;=N$42,1,0)))</f>
        <v>0</v>
      </c>
      <c r="O45" s="1">
        <f ca="1">IF(OR(O$37=0,$F45=0),0,IF($G45=1,IF($F45&gt;=COUNTIF($H$37:O$37,1),1,0),IF(16-$F45&lt;=O$42,1,0)))</f>
        <v>0</v>
      </c>
      <c r="P45" s="1">
        <f ca="1">IF(OR(P$37=0,$F45=0),0,IF($G45=1,IF($F45&gt;=COUNTIF($H$37:P$37,1),1,0),IF(16-$F45&lt;=P$42,1,0)))</f>
        <v>0</v>
      </c>
      <c r="Q45" s="1">
        <f ca="1">IF(OR(Q$37=0,$F45=0),0,IF($G45=1,IF($F45&gt;=COUNTIF($H$37:Q$37,1),1,0),IF(16-$F45&lt;=Q$42,1,0)))</f>
        <v>0</v>
      </c>
      <c r="R45" s="1">
        <f ca="1">IF(OR(R$37=0,$F45=0),0,IF($G45=1,IF($F45&gt;=COUNTIF($H$37:R$37,1),1,0),IF(16-$F45&lt;=R$42,1,0)))</f>
        <v>0</v>
      </c>
      <c r="S45" s="1">
        <f ca="1">IF(OR(S$37=0,$F45=0),0,IF($G45=1,IF($F45&gt;=COUNTIF($H$37:S$37,1),1,0),IF(16-$F45&lt;=S$42,1,0)))</f>
        <v>0</v>
      </c>
    </row>
    <row r="46" spans="1:19" x14ac:dyDescent="0.15">
      <c r="B46" s="53" t="s">
        <v>11</v>
      </c>
      <c r="C46" s="60">
        <f>概算シート!W9</f>
        <v>0</v>
      </c>
      <c r="E46" s="1">
        <f ca="1">税率!C14</f>
        <v>0</v>
      </c>
      <c r="F46" s="1">
        <f ca="1">IF(E46=1,VLOOKUP(C46,介護2号判定!$C$4:$G$29,5,TRUE),0)</f>
        <v>0</v>
      </c>
      <c r="G46" s="70">
        <f t="shared" si="11"/>
        <v>0</v>
      </c>
      <c r="H46" s="1">
        <f ca="1">IF(OR(H$37=0,$F46=0),0,IF($G46=1,IF($F46&gt;=COUNTIF($H$37:H$37,1),1,0),IF(16-$F46&lt;=H$42,1,0)))</f>
        <v>0</v>
      </c>
      <c r="I46" s="1">
        <f ca="1">IF(OR(I$37=0,$F46=0),0,IF($G46=1,IF($F46&gt;=COUNTIF($H$37:I$37,1),1,0),IF(16-$F46&lt;=I$42,1,0)))</f>
        <v>0</v>
      </c>
      <c r="J46" s="1">
        <f ca="1">IF(OR(J$37=0,$F46=0),0,IF($G46=1,IF($F46&gt;=COUNTIF($H$37:J$37,1),1,0),IF(16-$F46&lt;=J$42,1,0)))</f>
        <v>0</v>
      </c>
      <c r="K46" s="1">
        <f ca="1">IF(OR(K$37=0,$F46=0),0,IF($G46=1,IF($F46&gt;=COUNTIF($H$37:K$37,1),1,0),IF(16-$F46&lt;=K$42,1,0)))</f>
        <v>0</v>
      </c>
      <c r="L46" s="1">
        <f ca="1">IF(OR(L$37=0,$F46=0),0,IF($G46=1,IF($F46&gt;=COUNTIF($H$37:L$37,1),1,0),IF(16-$F46&lt;=L$42,1,0)))</f>
        <v>0</v>
      </c>
      <c r="M46" s="1">
        <f ca="1">IF(OR(M$37=0,$F46=0),0,IF($G46=1,IF($F46&gt;=COUNTIF($H$37:M$37,1),1,0),IF(16-$F46&lt;=M$42,1,0)))</f>
        <v>0</v>
      </c>
      <c r="N46" s="1">
        <f ca="1">IF(OR(N$37=0,$F46=0),0,IF($G46=1,IF($F46&gt;=COUNTIF($H$37:N$37,1),1,0),IF(16-$F46&lt;=N$42,1,0)))</f>
        <v>0</v>
      </c>
      <c r="O46" s="1">
        <f ca="1">IF(OR(O$37=0,$F46=0),0,IF($G46=1,IF($F46&gt;=COUNTIF($H$37:O$37,1),1,0),IF(16-$F46&lt;=O$42,1,0)))</f>
        <v>0</v>
      </c>
      <c r="P46" s="1">
        <f ca="1">IF(OR(P$37=0,$F46=0),0,IF($G46=1,IF($F46&gt;=COUNTIF($H$37:P$37,1),1,0),IF(16-$F46&lt;=P$42,1,0)))</f>
        <v>0</v>
      </c>
      <c r="Q46" s="1">
        <f ca="1">IF(OR(Q$37=0,$F46=0),0,IF($G46=1,IF($F46&gt;=COUNTIF($H$37:Q$37,1),1,0),IF(16-$F46&lt;=Q$42,1,0)))</f>
        <v>0</v>
      </c>
      <c r="R46" s="1">
        <f ca="1">IF(OR(R$37=0,$F46=0),0,IF($G46=1,IF($F46&gt;=COUNTIF($H$37:R$37,1),1,0),IF(16-$F46&lt;=R$42,1,0)))</f>
        <v>0</v>
      </c>
      <c r="S46" s="1">
        <f ca="1">IF(OR(S$37=0,$F46=0),0,IF($G46=1,IF($F46&gt;=COUNTIF($H$37:S$37,1),1,0),IF(16-$F46&lt;=S$42,1,0)))</f>
        <v>0</v>
      </c>
    </row>
    <row r="47" spans="1:19" x14ac:dyDescent="0.15">
      <c r="B47" s="53" t="s">
        <v>12</v>
      </c>
      <c r="C47" s="60">
        <f>概算シート!W10</f>
        <v>0</v>
      </c>
      <c r="E47" s="1">
        <f ca="1">税率!C15</f>
        <v>0</v>
      </c>
      <c r="F47" s="1">
        <f ca="1">IF(E47=1,VLOOKUP(C47,介護2号判定!$C$4:$G$29,5,TRUE),0)</f>
        <v>0</v>
      </c>
      <c r="G47" s="70">
        <f t="shared" si="11"/>
        <v>0</v>
      </c>
      <c r="H47" s="1">
        <f ca="1">IF(OR(H$37=0,$F47=0),0,IF($G47=1,IF($F47&gt;=COUNTIF($H$37:H$37,1),1,0),IF(16-$F47&lt;=H$42,1,0)))</f>
        <v>0</v>
      </c>
      <c r="I47" s="1">
        <f ca="1">IF(OR(I$37=0,$F47=0),0,IF($G47=1,IF($F47&gt;=COUNTIF($H$37:I$37,1),1,0),IF(16-$F47&lt;=I$42,1,0)))</f>
        <v>0</v>
      </c>
      <c r="J47" s="1">
        <f ca="1">IF(OR(J$37=0,$F47=0),0,IF($G47=1,IF($F47&gt;=COUNTIF($H$37:J$37,1),1,0),IF(16-$F47&lt;=J$42,1,0)))</f>
        <v>0</v>
      </c>
      <c r="K47" s="1">
        <f ca="1">IF(OR(K$37=0,$F47=0),0,IF($G47=1,IF($F47&gt;=COUNTIF($H$37:K$37,1),1,0),IF(16-$F47&lt;=K$42,1,0)))</f>
        <v>0</v>
      </c>
      <c r="L47" s="1">
        <f ca="1">IF(OR(L$37=0,$F47=0),0,IF($G47=1,IF($F47&gt;=COUNTIF($H$37:L$37,1),1,0),IF(16-$F47&lt;=L$42,1,0)))</f>
        <v>0</v>
      </c>
      <c r="M47" s="1">
        <f ca="1">IF(OR(M$37=0,$F47=0),0,IF($G47=1,IF($F47&gt;=COUNTIF($H$37:M$37,1),1,0),IF(16-$F47&lt;=M$42,1,0)))</f>
        <v>0</v>
      </c>
      <c r="N47" s="1">
        <f ca="1">IF(OR(N$37=0,$F47=0),0,IF($G47=1,IF($F47&gt;=COUNTIF($H$37:N$37,1),1,0),IF(16-$F47&lt;=N$42,1,0)))</f>
        <v>0</v>
      </c>
      <c r="O47" s="1">
        <f ca="1">IF(OR(O$37=0,$F47=0),0,IF($G47=1,IF($F47&gt;=COUNTIF($H$37:O$37,1),1,0),IF(16-$F47&lt;=O$42,1,0)))</f>
        <v>0</v>
      </c>
      <c r="P47" s="1">
        <f ca="1">IF(OR(P$37=0,$F47=0),0,IF($G47=1,IF($F47&gt;=COUNTIF($H$37:P$37,1),1,0),IF(16-$F47&lt;=P$42,1,0)))</f>
        <v>0</v>
      </c>
      <c r="Q47" s="1">
        <f ca="1">IF(OR(Q$37=0,$F47=0),0,IF($G47=1,IF($F47&gt;=COUNTIF($H$37:Q$37,1),1,0),IF(16-$F47&lt;=Q$42,1,0)))</f>
        <v>0</v>
      </c>
      <c r="R47" s="1">
        <f ca="1">IF(OR(R$37=0,$F47=0),0,IF($G47=1,IF($F47&gt;=COUNTIF($H$37:R$37,1),1,0),IF(16-$F47&lt;=R$42,1,0)))</f>
        <v>0</v>
      </c>
      <c r="S47" s="1">
        <f ca="1">IF(OR(S$37=0,$F47=0),0,IF($G47=1,IF($F47&gt;=COUNTIF($H$37:S$37,1),1,0),IF(16-$F47&lt;=S$42,1,0)))</f>
        <v>0</v>
      </c>
    </row>
    <row r="48" spans="1:19" x14ac:dyDescent="0.15">
      <c r="B48" s="53" t="s">
        <v>13</v>
      </c>
      <c r="C48" s="60">
        <f>概算シート!W11</f>
        <v>0</v>
      </c>
      <c r="E48" s="1">
        <f ca="1">税率!C16</f>
        <v>0</v>
      </c>
      <c r="F48" s="1">
        <f ca="1">IF(E48=1,VLOOKUP(C48,介護2号判定!$C$4:$G$29,5,TRUE),0)</f>
        <v>0</v>
      </c>
      <c r="G48" s="70">
        <f t="shared" si="11"/>
        <v>0</v>
      </c>
      <c r="H48" s="1">
        <f ca="1">IF(OR(H$37=0,$F48=0),0,IF($G48=1,IF($F48&gt;=COUNTIF($H$37:H$37,1),1,0),IF(16-$F48&lt;=H$42,1,0)))</f>
        <v>0</v>
      </c>
      <c r="I48" s="1">
        <f ca="1">IF(OR(I$37=0,$F48=0),0,IF($G48=1,IF($F48&gt;=COUNTIF($H$37:I$37,1),1,0),IF(16-$F48&lt;=I$42,1,0)))</f>
        <v>0</v>
      </c>
      <c r="J48" s="1">
        <f ca="1">IF(OR(J$37=0,$F48=0),0,IF($G48=1,IF($F48&gt;=COUNTIF($H$37:J$37,1),1,0),IF(16-$F48&lt;=J$42,1,0)))</f>
        <v>0</v>
      </c>
      <c r="K48" s="1">
        <f ca="1">IF(OR(K$37=0,$F48=0),0,IF($G48=1,IF($F48&gt;=COUNTIF($H$37:K$37,1),1,0),IF(16-$F48&lt;=K$42,1,0)))</f>
        <v>0</v>
      </c>
      <c r="L48" s="1">
        <f ca="1">IF(OR(L$37=0,$F48=0),0,IF($G48=1,IF($F48&gt;=COUNTIF($H$37:L$37,1),1,0),IF(16-$F48&lt;=L$42,1,0)))</f>
        <v>0</v>
      </c>
      <c r="M48" s="1">
        <f ca="1">IF(OR(M$37=0,$F48=0),0,IF($G48=1,IF($F48&gt;=COUNTIF($H$37:M$37,1),1,0),IF(16-$F48&lt;=M$42,1,0)))</f>
        <v>0</v>
      </c>
      <c r="N48" s="1">
        <f ca="1">IF(OR(N$37=0,$F48=0),0,IF($G48=1,IF($F48&gt;=COUNTIF($H$37:N$37,1),1,0),IF(16-$F48&lt;=N$42,1,0)))</f>
        <v>0</v>
      </c>
      <c r="O48" s="1">
        <f ca="1">IF(OR(O$37=0,$F48=0),0,IF($G48=1,IF($F48&gt;=COUNTIF($H$37:O$37,1),1,0),IF(16-$F48&lt;=O$42,1,0)))</f>
        <v>0</v>
      </c>
      <c r="P48" s="1">
        <f ca="1">IF(OR(P$37=0,$F48=0),0,IF($G48=1,IF($F48&gt;=COUNTIF($H$37:P$37,1),1,0),IF(16-$F48&lt;=P$42,1,0)))</f>
        <v>0</v>
      </c>
      <c r="Q48" s="1">
        <f ca="1">IF(OR(Q$37=0,$F48=0),0,IF($G48=1,IF($F48&gt;=COUNTIF($H$37:Q$37,1),1,0),IF(16-$F48&lt;=Q$42,1,0)))</f>
        <v>0</v>
      </c>
      <c r="R48" s="1">
        <f ca="1">IF(OR(R$37=0,$F48=0),0,IF($G48=1,IF($F48&gt;=COUNTIF($H$37:R$37,1),1,0),IF(16-$F48&lt;=R$42,1,0)))</f>
        <v>0</v>
      </c>
      <c r="S48" s="1">
        <f ca="1">IF(OR(S$37=0,$F48=0),0,IF($G48=1,IF($F48&gt;=COUNTIF($H$37:S$37,1),1,0),IF(16-$F48&lt;=S$42,1,0)))</f>
        <v>0</v>
      </c>
    </row>
    <row r="49" spans="2:20" x14ac:dyDescent="0.15">
      <c r="B49" s="53" t="s">
        <v>14</v>
      </c>
      <c r="C49" s="60">
        <f>概算シート!W12</f>
        <v>0</v>
      </c>
      <c r="E49" s="1">
        <f ca="1">税率!C17</f>
        <v>0</v>
      </c>
      <c r="F49" s="1">
        <f ca="1">IF(E49=1,VLOOKUP(C49,介護2号判定!$C$4:$G$29,5,TRUE),0)</f>
        <v>0</v>
      </c>
      <c r="G49" s="70">
        <f t="shared" si="11"/>
        <v>0</v>
      </c>
      <c r="H49" s="1">
        <f ca="1">IF(OR(H$37=0,$F49=0),0,IF($G49=1,IF($F49&gt;=COUNTIF($H$37:H$37,1),1,0),IF(16-$F49&lt;=H$42,1,0)))</f>
        <v>0</v>
      </c>
      <c r="I49" s="1">
        <f ca="1">IF(OR(I$37=0,$F49=0),0,IF($G49=1,IF($F49&gt;=COUNTIF($H$37:I$37,1),1,0),IF(16-$F49&lt;=I$42,1,0)))</f>
        <v>0</v>
      </c>
      <c r="J49" s="1">
        <f ca="1">IF(OR(J$37=0,$F49=0),0,IF($G49=1,IF($F49&gt;=COUNTIF($H$37:J$37,1),1,0),IF(16-$F49&lt;=J$42,1,0)))</f>
        <v>0</v>
      </c>
      <c r="K49" s="1">
        <f ca="1">IF(OR(K$37=0,$F49=0),0,IF($G49=1,IF($F49&gt;=COUNTIF($H$37:K$37,1),1,0),IF(16-$F49&lt;=K$42,1,0)))</f>
        <v>0</v>
      </c>
      <c r="L49" s="1">
        <f ca="1">IF(OR(L$37=0,$F49=0),0,IF($G49=1,IF($F49&gt;=COUNTIF($H$37:L$37,1),1,0),IF(16-$F49&lt;=L$42,1,0)))</f>
        <v>0</v>
      </c>
      <c r="M49" s="1">
        <f ca="1">IF(OR(M$37=0,$F49=0),0,IF($G49=1,IF($F49&gt;=COUNTIF($H$37:M$37,1),1,0),IF(16-$F49&lt;=M$42,1,0)))</f>
        <v>0</v>
      </c>
      <c r="N49" s="1">
        <f ca="1">IF(OR(N$37=0,$F49=0),0,IF($G49=1,IF($F49&gt;=COUNTIF($H$37:N$37,1),1,0),IF(16-$F49&lt;=N$42,1,0)))</f>
        <v>0</v>
      </c>
      <c r="O49" s="1">
        <f ca="1">IF(OR(O$37=0,$F49=0),0,IF($G49=1,IF($F49&gt;=COUNTIF($H$37:O$37,1),1,0),IF(16-$F49&lt;=O$42,1,0)))</f>
        <v>0</v>
      </c>
      <c r="P49" s="1">
        <f ca="1">IF(OR(P$37=0,$F49=0),0,IF($G49=1,IF($F49&gt;=COUNTIF($H$37:P$37,1),1,0),IF(16-$F49&lt;=P$42,1,0)))</f>
        <v>0</v>
      </c>
      <c r="Q49" s="1">
        <f ca="1">IF(OR(Q$37=0,$F49=0),0,IF($G49=1,IF($F49&gt;=COUNTIF($H$37:Q$37,1),1,0),IF(16-$F49&lt;=Q$42,1,0)))</f>
        <v>0</v>
      </c>
      <c r="R49" s="1">
        <f ca="1">IF(OR(R$37=0,$F49=0),0,IF($G49=1,IF($F49&gt;=COUNTIF($H$37:R$37,1),1,0),IF(16-$F49&lt;=R$42,1,0)))</f>
        <v>0</v>
      </c>
      <c r="S49" s="1">
        <f ca="1">IF(OR(S$37=0,$F49=0),0,IF($G49=1,IF($F49&gt;=COUNTIF($H$37:S$37,1),1,0),IF(16-$F49&lt;=S$42,1,0)))</f>
        <v>0</v>
      </c>
    </row>
    <row r="50" spans="2:20" x14ac:dyDescent="0.15">
      <c r="B50" s="53" t="s">
        <v>15</v>
      </c>
      <c r="C50" s="60">
        <f>概算シート!W13</f>
        <v>0</v>
      </c>
      <c r="E50" s="1">
        <f ca="1">税率!C18</f>
        <v>0</v>
      </c>
      <c r="F50" s="1">
        <f ca="1">IF(E50=1,VLOOKUP(C50,介護2号判定!$C$4:$G$29,5,TRUE),0)</f>
        <v>0</v>
      </c>
      <c r="G50" s="70">
        <f t="shared" si="11"/>
        <v>0</v>
      </c>
      <c r="H50" s="1">
        <f ca="1">IF(OR(H$37=0,$F50=0),0,IF($G50=1,IF($F50&gt;=COUNTIF($H$37:H$37,1),1,0),IF(16-$F50&lt;=H$42,1,0)))</f>
        <v>0</v>
      </c>
      <c r="I50" s="1">
        <f ca="1">IF(OR(I$37=0,$F50=0),0,IF($G50=1,IF($F50&gt;=COUNTIF($H$37:I$37,1),1,0),IF(16-$F50&lt;=I$42,1,0)))</f>
        <v>0</v>
      </c>
      <c r="J50" s="1">
        <f ca="1">IF(OR(J$37=0,$F50=0),0,IF($G50=1,IF($F50&gt;=COUNTIF($H$37:J$37,1),1,0),IF(16-$F50&lt;=J$42,1,0)))</f>
        <v>0</v>
      </c>
      <c r="K50" s="1">
        <f ca="1">IF(OR(K$37=0,$F50=0),0,IF($G50=1,IF($F50&gt;=COUNTIF($H$37:K$37,1),1,0),IF(16-$F50&lt;=K$42,1,0)))</f>
        <v>0</v>
      </c>
      <c r="L50" s="1">
        <f ca="1">IF(OR(L$37=0,$F50=0),0,IF($G50=1,IF($F50&gt;=COUNTIF($H$37:L$37,1),1,0),IF(16-$F50&lt;=L$42,1,0)))</f>
        <v>0</v>
      </c>
      <c r="M50" s="1">
        <f ca="1">IF(OR(M$37=0,$F50=0),0,IF($G50=1,IF($F50&gt;=COUNTIF($H$37:M$37,1),1,0),IF(16-$F50&lt;=M$42,1,0)))</f>
        <v>0</v>
      </c>
      <c r="N50" s="1">
        <f ca="1">IF(OR(N$37=0,$F50=0),0,IF($G50=1,IF($F50&gt;=COUNTIF($H$37:N$37,1),1,0),IF(16-$F50&lt;=N$42,1,0)))</f>
        <v>0</v>
      </c>
      <c r="O50" s="1">
        <f ca="1">IF(OR(O$37=0,$F50=0),0,IF($G50=1,IF($F50&gt;=COUNTIF($H$37:O$37,1),1,0),IF(16-$F50&lt;=O$42,1,0)))</f>
        <v>0</v>
      </c>
      <c r="P50" s="1">
        <f ca="1">IF(OR(P$37=0,$F50=0),0,IF($G50=1,IF($F50&gt;=COUNTIF($H$37:P$37,1),1,0),IF(16-$F50&lt;=P$42,1,0)))</f>
        <v>0</v>
      </c>
      <c r="Q50" s="1">
        <f ca="1">IF(OR(Q$37=0,$F50=0),0,IF($G50=1,IF($F50&gt;=COUNTIF($H$37:Q$37,1),1,0),IF(16-$F50&lt;=Q$42,1,0)))</f>
        <v>0</v>
      </c>
      <c r="R50" s="1">
        <f ca="1">IF(OR(R$37=0,$F50=0),0,IF($G50=1,IF($F50&gt;=COUNTIF($H$37:R$37,1),1,0),IF(16-$F50&lt;=R$42,1,0)))</f>
        <v>0</v>
      </c>
      <c r="S50" s="1">
        <f ca="1">IF(OR(S$37=0,$F50=0),0,IF($G50=1,IF($F50&gt;=COUNTIF($H$37:S$37,1),1,0),IF(16-$F50&lt;=S$42,1,0)))</f>
        <v>0</v>
      </c>
    </row>
    <row r="51" spans="2:20" x14ac:dyDescent="0.15">
      <c r="B51" s="53" t="s">
        <v>16</v>
      </c>
      <c r="C51" s="60">
        <f>概算シート!W14</f>
        <v>0</v>
      </c>
      <c r="E51" s="1">
        <f ca="1">税率!C19</f>
        <v>0</v>
      </c>
      <c r="F51" s="1">
        <f ca="1">IF(E51=1,VLOOKUP(C51,介護2号判定!$C$4:$G$29,5,TRUE),0)</f>
        <v>0</v>
      </c>
      <c r="G51" s="70">
        <f t="shared" si="11"/>
        <v>0</v>
      </c>
      <c r="H51" s="1">
        <f ca="1">IF(OR(H$37=0,$F51=0),0,IF($G51=1,IF($F51&gt;=COUNTIF($H$37:H$37,1),1,0),IF(16-$F51&lt;=H$42,1,0)))</f>
        <v>0</v>
      </c>
      <c r="I51" s="1">
        <f ca="1">IF(OR(I$37=0,$F51=0),0,IF($G51=1,IF($F51&gt;=COUNTIF($H$37:I$37,1),1,0),IF(16-$F51&lt;=I$42,1,0)))</f>
        <v>0</v>
      </c>
      <c r="J51" s="1">
        <f ca="1">IF(OR(J$37=0,$F51=0),0,IF($G51=1,IF($F51&gt;=COUNTIF($H$37:J$37,1),1,0),IF(16-$F51&lt;=J$42,1,0)))</f>
        <v>0</v>
      </c>
      <c r="K51" s="1">
        <f ca="1">IF(OR(K$37=0,$F51=0),0,IF($G51=1,IF($F51&gt;=COUNTIF($H$37:K$37,1),1,0),IF(16-$F51&lt;=K$42,1,0)))</f>
        <v>0</v>
      </c>
      <c r="L51" s="1">
        <f ca="1">IF(OR(L$37=0,$F51=0),0,IF($G51=1,IF($F51&gt;=COUNTIF($H$37:L$37,1),1,0),IF(16-$F51&lt;=L$42,1,0)))</f>
        <v>0</v>
      </c>
      <c r="M51" s="1">
        <f ca="1">IF(OR(M$37=0,$F51=0),0,IF($G51=1,IF($F51&gt;=COUNTIF($H$37:M$37,1),1,0),IF(16-$F51&lt;=M$42,1,0)))</f>
        <v>0</v>
      </c>
      <c r="N51" s="1">
        <f ca="1">IF(OR(N$37=0,$F51=0),0,IF($G51=1,IF($F51&gt;=COUNTIF($H$37:N$37,1),1,0),IF(16-$F51&lt;=N$42,1,0)))</f>
        <v>0</v>
      </c>
      <c r="O51" s="1">
        <f ca="1">IF(OR(O$37=0,$F51=0),0,IF($G51=1,IF($F51&gt;=COUNTIF($H$37:O$37,1),1,0),IF(16-$F51&lt;=O$42,1,0)))</f>
        <v>0</v>
      </c>
      <c r="P51" s="1">
        <f ca="1">IF(OR(P$37=0,$F51=0),0,IF($G51=1,IF($F51&gt;=COUNTIF($H$37:P$37,1),1,0),IF(16-$F51&lt;=P$42,1,0)))</f>
        <v>0</v>
      </c>
      <c r="Q51" s="1">
        <f ca="1">IF(OR(Q$37=0,$F51=0),0,IF($G51=1,IF($F51&gt;=COUNTIF($H$37:Q$37,1),1,0),IF(16-$F51&lt;=Q$42,1,0)))</f>
        <v>0</v>
      </c>
      <c r="R51" s="1">
        <f ca="1">IF(OR(R$37=0,$F51=0),0,IF($G51=1,IF($F51&gt;=COUNTIF($H$37:R$37,1),1,0),IF(16-$F51&lt;=R$42,1,0)))</f>
        <v>0</v>
      </c>
      <c r="S51" s="1">
        <f ca="1">IF(OR(S$37=0,$F51=0),0,IF($G51=1,IF($F51&gt;=COUNTIF($H$37:S$37,1),1,0),IF(16-$F51&lt;=S$42,1,0)))</f>
        <v>0</v>
      </c>
    </row>
    <row r="52" spans="2:20" x14ac:dyDescent="0.15">
      <c r="B52" s="53" t="s">
        <v>17</v>
      </c>
      <c r="C52" s="60">
        <f>概算シート!W15</f>
        <v>0</v>
      </c>
      <c r="E52" s="1">
        <f ca="1">税率!C20</f>
        <v>0</v>
      </c>
      <c r="F52" s="1">
        <f ca="1">IF(E52=1,VLOOKUP(C52,介護2号判定!$C$4:$G$29,5,TRUE),0)</f>
        <v>0</v>
      </c>
      <c r="G52" s="70">
        <f t="shared" si="11"/>
        <v>0</v>
      </c>
      <c r="H52" s="1">
        <f ca="1">IF(OR(H$37=0,$F52=0),0,IF($G52=1,IF($F52&gt;=COUNTIF($H$37:H$37,1),1,0),IF(16-$F52&lt;=H$42,1,0)))</f>
        <v>0</v>
      </c>
      <c r="I52" s="1">
        <f ca="1">IF(OR(I$37=0,$F52=0),0,IF($G52=1,IF($F52&gt;=COUNTIF($H$37:I$37,1),1,0),IF(16-$F52&lt;=I$42,1,0)))</f>
        <v>0</v>
      </c>
      <c r="J52" s="1">
        <f ca="1">IF(OR(J$37=0,$F52=0),0,IF($G52=1,IF($F52&gt;=COUNTIF($H$37:J$37,1),1,0),IF(16-$F52&lt;=J$42,1,0)))</f>
        <v>0</v>
      </c>
      <c r="K52" s="1">
        <f ca="1">IF(OR(K$37=0,$F52=0),0,IF($G52=1,IF($F52&gt;=COUNTIF($H$37:K$37,1),1,0),IF(16-$F52&lt;=K$42,1,0)))</f>
        <v>0</v>
      </c>
      <c r="L52" s="1">
        <f ca="1">IF(OR(L$37=0,$F52=0),0,IF($G52=1,IF($F52&gt;=COUNTIF($H$37:L$37,1),1,0),IF(16-$F52&lt;=L$42,1,0)))</f>
        <v>0</v>
      </c>
      <c r="M52" s="1">
        <f ca="1">IF(OR(M$37=0,$F52=0),0,IF($G52=1,IF($F52&gt;=COUNTIF($H$37:M$37,1),1,0),IF(16-$F52&lt;=M$42,1,0)))</f>
        <v>0</v>
      </c>
      <c r="N52" s="1">
        <f ca="1">IF(OR(N$37=0,$F52=0),0,IF($G52=1,IF($F52&gt;=COUNTIF($H$37:N$37,1),1,0),IF(16-$F52&lt;=N$42,1,0)))</f>
        <v>0</v>
      </c>
      <c r="O52" s="1">
        <f ca="1">IF(OR(O$37=0,$F52=0),0,IF($G52=1,IF($F52&gt;=COUNTIF($H$37:O$37,1),1,0),IF(16-$F52&lt;=O$42,1,0)))</f>
        <v>0</v>
      </c>
      <c r="P52" s="1">
        <f ca="1">IF(OR(P$37=0,$F52=0),0,IF($G52=1,IF($F52&gt;=COUNTIF($H$37:P$37,1),1,0),IF(16-$F52&lt;=P$42,1,0)))</f>
        <v>0</v>
      </c>
      <c r="Q52" s="1">
        <f ca="1">IF(OR(Q$37=0,$F52=0),0,IF($G52=1,IF($F52&gt;=COUNTIF($H$37:Q$37,1),1,0),IF(16-$F52&lt;=Q$42,1,0)))</f>
        <v>0</v>
      </c>
      <c r="R52" s="1">
        <f ca="1">IF(OR(R$37=0,$F52=0),0,IF($G52=1,IF($F52&gt;=COUNTIF($H$37:R$37,1),1,0),IF(16-$F52&lt;=R$42,1,0)))</f>
        <v>0</v>
      </c>
      <c r="S52" s="1">
        <f ca="1">IF(OR(S$37=0,$F52=0),0,IF($G52=1,IF($F52&gt;=COUNTIF($H$37:S$37,1),1,0),IF(16-$F52&lt;=S$42,1,0)))</f>
        <v>0</v>
      </c>
    </row>
    <row r="54" spans="2:20" x14ac:dyDescent="0.15">
      <c r="H54" s="201" t="s">
        <v>210</v>
      </c>
    </row>
    <row r="55" spans="2:20" x14ac:dyDescent="0.15">
      <c r="F55" s="1" t="s">
        <v>195</v>
      </c>
      <c r="G55" s="1" t="s">
        <v>196</v>
      </c>
      <c r="H55" s="163" t="s">
        <v>177</v>
      </c>
      <c r="I55" s="163" t="s">
        <v>178</v>
      </c>
      <c r="J55" s="163" t="s">
        <v>179</v>
      </c>
      <c r="K55" s="163" t="s">
        <v>180</v>
      </c>
      <c r="L55" s="163" t="s">
        <v>181</v>
      </c>
      <c r="M55" s="163" t="s">
        <v>182</v>
      </c>
      <c r="N55" s="163" t="s">
        <v>183</v>
      </c>
      <c r="O55" s="163" t="s">
        <v>184</v>
      </c>
      <c r="P55" s="163" t="s">
        <v>185</v>
      </c>
      <c r="Q55" s="163" t="s">
        <v>186</v>
      </c>
      <c r="R55" s="163" t="s">
        <v>187</v>
      </c>
      <c r="S55" s="163" t="s">
        <v>188</v>
      </c>
      <c r="T55" s="163" t="s">
        <v>215</v>
      </c>
    </row>
    <row r="56" spans="2:20" x14ac:dyDescent="0.15">
      <c r="E56" s="53" t="s">
        <v>46</v>
      </c>
      <c r="F56" s="1">
        <f ca="1">IF(AND(F43&gt;0,概算シート!L6&gt;税率!$H$2),概算シート!L6-税率!$H$2,0)</f>
        <v>0</v>
      </c>
      <c r="G56" s="1">
        <f ca="1">F56*税率!$D$3/12</f>
        <v>0</v>
      </c>
      <c r="H56" s="1">
        <f t="shared" ref="H56:S56" ca="1" si="12">IF(H43=0,0,$G56)</f>
        <v>0</v>
      </c>
      <c r="I56" s="1">
        <f t="shared" ca="1" si="12"/>
        <v>0</v>
      </c>
      <c r="J56" s="1">
        <f t="shared" ca="1" si="12"/>
        <v>0</v>
      </c>
      <c r="K56" s="1">
        <f t="shared" ca="1" si="12"/>
        <v>0</v>
      </c>
      <c r="L56" s="1">
        <f t="shared" ca="1" si="12"/>
        <v>0</v>
      </c>
      <c r="M56" s="1">
        <f t="shared" ca="1" si="12"/>
        <v>0</v>
      </c>
      <c r="N56" s="1">
        <f t="shared" ca="1" si="12"/>
        <v>0</v>
      </c>
      <c r="O56" s="1">
        <f t="shared" ca="1" si="12"/>
        <v>0</v>
      </c>
      <c r="P56" s="1">
        <f t="shared" ca="1" si="12"/>
        <v>0</v>
      </c>
      <c r="Q56" s="1">
        <f t="shared" ca="1" si="12"/>
        <v>0</v>
      </c>
      <c r="R56" s="1">
        <f t="shared" ca="1" si="12"/>
        <v>0</v>
      </c>
      <c r="S56" s="1">
        <f t="shared" ca="1" si="12"/>
        <v>0</v>
      </c>
      <c r="T56" s="302">
        <f ca="1">SUM(H56:S65)</f>
        <v>0</v>
      </c>
    </row>
    <row r="57" spans="2:20" x14ac:dyDescent="0.15">
      <c r="E57" s="53" t="s">
        <v>9</v>
      </c>
      <c r="F57" s="1">
        <f ca="1">IF(AND(F44&gt;0,概算シート!L7&gt;税率!$H$2),概算シート!L7-税率!$H$2,0)</f>
        <v>0</v>
      </c>
      <c r="G57" s="1">
        <f ca="1">F57*税率!$D$3/12</f>
        <v>0</v>
      </c>
      <c r="H57" s="1">
        <f t="shared" ref="H57:S57" ca="1" si="13">IF(H44=0,0,$G57)</f>
        <v>0</v>
      </c>
      <c r="I57" s="1">
        <f t="shared" ca="1" si="13"/>
        <v>0</v>
      </c>
      <c r="J57" s="1">
        <f t="shared" ca="1" si="13"/>
        <v>0</v>
      </c>
      <c r="K57" s="1">
        <f t="shared" ca="1" si="13"/>
        <v>0</v>
      </c>
      <c r="L57" s="1">
        <f t="shared" ca="1" si="13"/>
        <v>0</v>
      </c>
      <c r="M57" s="1">
        <f t="shared" ca="1" si="13"/>
        <v>0</v>
      </c>
      <c r="N57" s="1">
        <f t="shared" ca="1" si="13"/>
        <v>0</v>
      </c>
      <c r="O57" s="1">
        <f t="shared" ca="1" si="13"/>
        <v>0</v>
      </c>
      <c r="P57" s="1">
        <f t="shared" ca="1" si="13"/>
        <v>0</v>
      </c>
      <c r="Q57" s="1">
        <f t="shared" ca="1" si="13"/>
        <v>0</v>
      </c>
      <c r="R57" s="1">
        <f t="shared" ca="1" si="13"/>
        <v>0</v>
      </c>
      <c r="S57" s="1">
        <f t="shared" ca="1" si="13"/>
        <v>0</v>
      </c>
      <c r="T57" s="303"/>
    </row>
    <row r="58" spans="2:20" x14ac:dyDescent="0.15">
      <c r="E58" s="53" t="s">
        <v>10</v>
      </c>
      <c r="F58" s="1">
        <f ca="1">IF(AND(F45&gt;0,概算シート!L8&gt;税率!$H$2),概算シート!L8-税率!$H$2,0)</f>
        <v>0</v>
      </c>
      <c r="G58" s="1">
        <f ca="1">F58*税率!$D$3/12</f>
        <v>0</v>
      </c>
      <c r="H58" s="1">
        <f t="shared" ref="H58:S58" ca="1" si="14">IF(H45=0,0,$G58)</f>
        <v>0</v>
      </c>
      <c r="I58" s="1">
        <f t="shared" ca="1" si="14"/>
        <v>0</v>
      </c>
      <c r="J58" s="1">
        <f t="shared" ca="1" si="14"/>
        <v>0</v>
      </c>
      <c r="K58" s="1">
        <f t="shared" ca="1" si="14"/>
        <v>0</v>
      </c>
      <c r="L58" s="1">
        <f t="shared" ca="1" si="14"/>
        <v>0</v>
      </c>
      <c r="M58" s="1">
        <f t="shared" ca="1" si="14"/>
        <v>0</v>
      </c>
      <c r="N58" s="1">
        <f t="shared" ca="1" si="14"/>
        <v>0</v>
      </c>
      <c r="O58" s="1">
        <f t="shared" ca="1" si="14"/>
        <v>0</v>
      </c>
      <c r="P58" s="1">
        <f t="shared" ca="1" si="14"/>
        <v>0</v>
      </c>
      <c r="Q58" s="1">
        <f t="shared" ca="1" si="14"/>
        <v>0</v>
      </c>
      <c r="R58" s="1">
        <f t="shared" ca="1" si="14"/>
        <v>0</v>
      </c>
      <c r="S58" s="1">
        <f t="shared" ca="1" si="14"/>
        <v>0</v>
      </c>
      <c r="T58" s="303"/>
    </row>
    <row r="59" spans="2:20" x14ac:dyDescent="0.15">
      <c r="E59" s="53" t="s">
        <v>11</v>
      </c>
      <c r="F59" s="1">
        <f ca="1">IF(AND(F46&gt;0,概算シート!L9&gt;税率!$H$2),概算シート!L9-税率!$H$2,0)</f>
        <v>0</v>
      </c>
      <c r="G59" s="1">
        <f ca="1">F59*税率!$D$3/12</f>
        <v>0</v>
      </c>
      <c r="H59" s="1">
        <f t="shared" ref="H59:S59" ca="1" si="15">IF(H46=0,0,$G59)</f>
        <v>0</v>
      </c>
      <c r="I59" s="1">
        <f t="shared" ca="1" si="15"/>
        <v>0</v>
      </c>
      <c r="J59" s="1">
        <f t="shared" ca="1" si="15"/>
        <v>0</v>
      </c>
      <c r="K59" s="1">
        <f t="shared" ca="1" si="15"/>
        <v>0</v>
      </c>
      <c r="L59" s="1">
        <f t="shared" ca="1" si="15"/>
        <v>0</v>
      </c>
      <c r="M59" s="1">
        <f t="shared" ca="1" si="15"/>
        <v>0</v>
      </c>
      <c r="N59" s="1">
        <f t="shared" ca="1" si="15"/>
        <v>0</v>
      </c>
      <c r="O59" s="1">
        <f t="shared" ca="1" si="15"/>
        <v>0</v>
      </c>
      <c r="P59" s="1">
        <f t="shared" ca="1" si="15"/>
        <v>0</v>
      </c>
      <c r="Q59" s="1">
        <f t="shared" ca="1" si="15"/>
        <v>0</v>
      </c>
      <c r="R59" s="1">
        <f t="shared" ca="1" si="15"/>
        <v>0</v>
      </c>
      <c r="S59" s="1">
        <f t="shared" ca="1" si="15"/>
        <v>0</v>
      </c>
      <c r="T59" s="303"/>
    </row>
    <row r="60" spans="2:20" x14ac:dyDescent="0.15">
      <c r="E60" s="53" t="s">
        <v>12</v>
      </c>
      <c r="F60" s="1">
        <f ca="1">IF(AND(F47&gt;0,概算シート!L10&gt;税率!$H$2),概算シート!L10-税率!$H$2,0)</f>
        <v>0</v>
      </c>
      <c r="G60" s="1">
        <f ca="1">F60*税率!$D$3/12</f>
        <v>0</v>
      </c>
      <c r="H60" s="1">
        <f t="shared" ref="H60:S60" ca="1" si="16">IF(H47=0,0,$G60)</f>
        <v>0</v>
      </c>
      <c r="I60" s="1">
        <f t="shared" ca="1" si="16"/>
        <v>0</v>
      </c>
      <c r="J60" s="1">
        <f t="shared" ca="1" si="16"/>
        <v>0</v>
      </c>
      <c r="K60" s="1">
        <f t="shared" ca="1" si="16"/>
        <v>0</v>
      </c>
      <c r="L60" s="1">
        <f t="shared" ca="1" si="16"/>
        <v>0</v>
      </c>
      <c r="M60" s="1">
        <f t="shared" ca="1" si="16"/>
        <v>0</v>
      </c>
      <c r="N60" s="1">
        <f t="shared" ca="1" si="16"/>
        <v>0</v>
      </c>
      <c r="O60" s="1">
        <f t="shared" ca="1" si="16"/>
        <v>0</v>
      </c>
      <c r="P60" s="1">
        <f t="shared" ca="1" si="16"/>
        <v>0</v>
      </c>
      <c r="Q60" s="1">
        <f t="shared" ca="1" si="16"/>
        <v>0</v>
      </c>
      <c r="R60" s="1">
        <f t="shared" ca="1" si="16"/>
        <v>0</v>
      </c>
      <c r="S60" s="1">
        <f t="shared" ca="1" si="16"/>
        <v>0</v>
      </c>
      <c r="T60" s="303"/>
    </row>
    <row r="61" spans="2:20" x14ac:dyDescent="0.15">
      <c r="E61" s="53" t="s">
        <v>13</v>
      </c>
      <c r="F61" s="1">
        <f ca="1">IF(AND(F48&gt;0,概算シート!L11&gt;税率!$H$2),概算シート!L11-税率!$H$2,0)</f>
        <v>0</v>
      </c>
      <c r="G61" s="1">
        <f ca="1">F61*税率!$D$3/12</f>
        <v>0</v>
      </c>
      <c r="H61" s="1">
        <f t="shared" ref="H61:S61" ca="1" si="17">IF(H48=0,0,$G61)</f>
        <v>0</v>
      </c>
      <c r="I61" s="1">
        <f t="shared" ca="1" si="17"/>
        <v>0</v>
      </c>
      <c r="J61" s="1">
        <f t="shared" ca="1" si="17"/>
        <v>0</v>
      </c>
      <c r="K61" s="1">
        <f t="shared" ca="1" si="17"/>
        <v>0</v>
      </c>
      <c r="L61" s="1">
        <f t="shared" ca="1" si="17"/>
        <v>0</v>
      </c>
      <c r="M61" s="1">
        <f t="shared" ca="1" si="17"/>
        <v>0</v>
      </c>
      <c r="N61" s="1">
        <f t="shared" ca="1" si="17"/>
        <v>0</v>
      </c>
      <c r="O61" s="1">
        <f t="shared" ca="1" si="17"/>
        <v>0</v>
      </c>
      <c r="P61" s="1">
        <f t="shared" ca="1" si="17"/>
        <v>0</v>
      </c>
      <c r="Q61" s="1">
        <f t="shared" ca="1" si="17"/>
        <v>0</v>
      </c>
      <c r="R61" s="1">
        <f t="shared" ca="1" si="17"/>
        <v>0</v>
      </c>
      <c r="S61" s="1">
        <f t="shared" ca="1" si="17"/>
        <v>0</v>
      </c>
      <c r="T61" s="303"/>
    </row>
    <row r="62" spans="2:20" x14ac:dyDescent="0.15">
      <c r="E62" s="53" t="s">
        <v>14</v>
      </c>
      <c r="F62" s="1">
        <f ca="1">IF(AND(F49&gt;0,概算シート!L12&gt;税率!$H$2),概算シート!L12-税率!$H$2,0)</f>
        <v>0</v>
      </c>
      <c r="G62" s="1">
        <f ca="1">F62*税率!$D$3/12</f>
        <v>0</v>
      </c>
      <c r="H62" s="1">
        <f t="shared" ref="H62:S62" ca="1" si="18">IF(H49=0,0,$G62)</f>
        <v>0</v>
      </c>
      <c r="I62" s="1">
        <f t="shared" ca="1" si="18"/>
        <v>0</v>
      </c>
      <c r="J62" s="1">
        <f t="shared" ca="1" si="18"/>
        <v>0</v>
      </c>
      <c r="K62" s="1">
        <f t="shared" ca="1" si="18"/>
        <v>0</v>
      </c>
      <c r="L62" s="1">
        <f t="shared" ca="1" si="18"/>
        <v>0</v>
      </c>
      <c r="M62" s="1">
        <f t="shared" ca="1" si="18"/>
        <v>0</v>
      </c>
      <c r="N62" s="1">
        <f t="shared" ca="1" si="18"/>
        <v>0</v>
      </c>
      <c r="O62" s="1">
        <f t="shared" ca="1" si="18"/>
        <v>0</v>
      </c>
      <c r="P62" s="1">
        <f t="shared" ca="1" si="18"/>
        <v>0</v>
      </c>
      <c r="Q62" s="1">
        <f t="shared" ca="1" si="18"/>
        <v>0</v>
      </c>
      <c r="R62" s="1">
        <f t="shared" ca="1" si="18"/>
        <v>0</v>
      </c>
      <c r="S62" s="1">
        <f t="shared" ca="1" si="18"/>
        <v>0</v>
      </c>
      <c r="T62" s="303"/>
    </row>
    <row r="63" spans="2:20" x14ac:dyDescent="0.15">
      <c r="E63" s="53" t="s">
        <v>15</v>
      </c>
      <c r="F63" s="1">
        <f ca="1">IF(AND(F50&gt;0,概算シート!L13&gt;税率!$H$2),概算シート!L13-税率!$H$2,0)</f>
        <v>0</v>
      </c>
      <c r="G63" s="1">
        <f ca="1">F63*税率!$D$3/12</f>
        <v>0</v>
      </c>
      <c r="H63" s="1">
        <f t="shared" ref="H63:S63" ca="1" si="19">IF(H50=0,0,$G63)</f>
        <v>0</v>
      </c>
      <c r="I63" s="1">
        <f t="shared" ca="1" si="19"/>
        <v>0</v>
      </c>
      <c r="J63" s="1">
        <f t="shared" ca="1" si="19"/>
        <v>0</v>
      </c>
      <c r="K63" s="1">
        <f t="shared" ca="1" si="19"/>
        <v>0</v>
      </c>
      <c r="L63" s="1">
        <f t="shared" ca="1" si="19"/>
        <v>0</v>
      </c>
      <c r="M63" s="1">
        <f t="shared" ca="1" si="19"/>
        <v>0</v>
      </c>
      <c r="N63" s="1">
        <f t="shared" ca="1" si="19"/>
        <v>0</v>
      </c>
      <c r="O63" s="1">
        <f t="shared" ca="1" si="19"/>
        <v>0</v>
      </c>
      <c r="P63" s="1">
        <f t="shared" ca="1" si="19"/>
        <v>0</v>
      </c>
      <c r="Q63" s="1">
        <f t="shared" ca="1" si="19"/>
        <v>0</v>
      </c>
      <c r="R63" s="1">
        <f t="shared" ca="1" si="19"/>
        <v>0</v>
      </c>
      <c r="S63" s="1">
        <f t="shared" ca="1" si="19"/>
        <v>0</v>
      </c>
      <c r="T63" s="303"/>
    </row>
    <row r="64" spans="2:20" x14ac:dyDescent="0.15">
      <c r="E64" s="53" t="s">
        <v>16</v>
      </c>
      <c r="F64" s="1">
        <f ca="1">IF(AND(F51&gt;0,概算シート!L14&gt;税率!$H$2),概算シート!L14-税率!$H$2,0)</f>
        <v>0</v>
      </c>
      <c r="G64" s="1">
        <f ca="1">F64*税率!$D$3/12</f>
        <v>0</v>
      </c>
      <c r="H64" s="1">
        <f t="shared" ref="H64:S64" ca="1" si="20">IF(H51=0,0,$G64)</f>
        <v>0</v>
      </c>
      <c r="I64" s="1">
        <f t="shared" ca="1" si="20"/>
        <v>0</v>
      </c>
      <c r="J64" s="1">
        <f t="shared" ca="1" si="20"/>
        <v>0</v>
      </c>
      <c r="K64" s="1">
        <f t="shared" ca="1" si="20"/>
        <v>0</v>
      </c>
      <c r="L64" s="1">
        <f t="shared" ca="1" si="20"/>
        <v>0</v>
      </c>
      <c r="M64" s="1">
        <f t="shared" ca="1" si="20"/>
        <v>0</v>
      </c>
      <c r="N64" s="1">
        <f t="shared" ca="1" si="20"/>
        <v>0</v>
      </c>
      <c r="O64" s="1">
        <f t="shared" ca="1" si="20"/>
        <v>0</v>
      </c>
      <c r="P64" s="1">
        <f t="shared" ca="1" si="20"/>
        <v>0</v>
      </c>
      <c r="Q64" s="1">
        <f t="shared" ca="1" si="20"/>
        <v>0</v>
      </c>
      <c r="R64" s="1">
        <f t="shared" ca="1" si="20"/>
        <v>0</v>
      </c>
      <c r="S64" s="1">
        <f t="shared" ca="1" si="20"/>
        <v>0</v>
      </c>
      <c r="T64" s="303"/>
    </row>
    <row r="65" spans="5:20" x14ac:dyDescent="0.15">
      <c r="E65" s="53" t="s">
        <v>17</v>
      </c>
      <c r="F65" s="1">
        <f ca="1">IF(AND(F52&gt;0,概算シート!L15&gt;税率!$H$2),概算シート!L15-税率!$H$2,0)</f>
        <v>0</v>
      </c>
      <c r="G65" s="1">
        <f ca="1">F65*税率!$D$3/12</f>
        <v>0</v>
      </c>
      <c r="H65" s="1">
        <f t="shared" ref="H65:S65" ca="1" si="21">IF(H52=0,0,$G65)</f>
        <v>0</v>
      </c>
      <c r="I65" s="1">
        <f t="shared" ca="1" si="21"/>
        <v>0</v>
      </c>
      <c r="J65" s="1">
        <f t="shared" ca="1" si="21"/>
        <v>0</v>
      </c>
      <c r="K65" s="1">
        <f t="shared" ca="1" si="21"/>
        <v>0</v>
      </c>
      <c r="L65" s="1">
        <f t="shared" ca="1" si="21"/>
        <v>0</v>
      </c>
      <c r="M65" s="1">
        <f t="shared" ca="1" si="21"/>
        <v>0</v>
      </c>
      <c r="N65" s="1">
        <f t="shared" ca="1" si="21"/>
        <v>0</v>
      </c>
      <c r="O65" s="1">
        <f t="shared" ca="1" si="21"/>
        <v>0</v>
      </c>
      <c r="P65" s="1">
        <f t="shared" ca="1" si="21"/>
        <v>0</v>
      </c>
      <c r="Q65" s="1">
        <f t="shared" ca="1" si="21"/>
        <v>0</v>
      </c>
      <c r="R65" s="1">
        <f t="shared" ca="1" si="21"/>
        <v>0</v>
      </c>
      <c r="S65" s="1">
        <f t="shared" ca="1" si="21"/>
        <v>0</v>
      </c>
      <c r="T65" s="304"/>
    </row>
    <row r="68" spans="5:20" x14ac:dyDescent="0.15">
      <c r="G68" s="162"/>
      <c r="H68" s="163" t="s">
        <v>177</v>
      </c>
      <c r="I68" s="163" t="s">
        <v>178</v>
      </c>
      <c r="J68" s="163" t="s">
        <v>179</v>
      </c>
      <c r="K68" s="163" t="s">
        <v>180</v>
      </c>
      <c r="L68" s="163" t="s">
        <v>181</v>
      </c>
      <c r="M68" s="163" t="s">
        <v>182</v>
      </c>
      <c r="N68" s="163" t="s">
        <v>183</v>
      </c>
      <c r="O68" s="163" t="s">
        <v>184</v>
      </c>
      <c r="P68" s="163" t="s">
        <v>185</v>
      </c>
      <c r="Q68" s="163" t="s">
        <v>186</v>
      </c>
      <c r="R68" s="163" t="s">
        <v>187</v>
      </c>
      <c r="S68" s="163" t="s">
        <v>188</v>
      </c>
      <c r="T68" s="163" t="s">
        <v>21</v>
      </c>
    </row>
    <row r="69" spans="5:20" x14ac:dyDescent="0.15">
      <c r="E69" s="2"/>
      <c r="F69" s="2"/>
      <c r="G69" s="1" t="s">
        <v>211</v>
      </c>
      <c r="H69" s="1">
        <f ca="1">SUM(H43:H52)</f>
        <v>0</v>
      </c>
      <c r="I69" s="1">
        <f t="shared" ref="I69:S69" ca="1" si="22">SUM(I43:I52)</f>
        <v>0</v>
      </c>
      <c r="J69" s="1">
        <f t="shared" ca="1" si="22"/>
        <v>0</v>
      </c>
      <c r="K69" s="1">
        <f t="shared" ca="1" si="22"/>
        <v>0</v>
      </c>
      <c r="L69" s="1">
        <f t="shared" ca="1" si="22"/>
        <v>0</v>
      </c>
      <c r="M69" s="1">
        <f t="shared" ca="1" si="22"/>
        <v>0</v>
      </c>
      <c r="N69" s="1">
        <f t="shared" ca="1" si="22"/>
        <v>0</v>
      </c>
      <c r="O69" s="1">
        <f t="shared" ca="1" si="22"/>
        <v>0</v>
      </c>
      <c r="P69" s="1">
        <f t="shared" ca="1" si="22"/>
        <v>0</v>
      </c>
      <c r="Q69" s="1">
        <f t="shared" ca="1" si="22"/>
        <v>0</v>
      </c>
      <c r="R69" s="1">
        <f t="shared" ca="1" si="22"/>
        <v>0</v>
      </c>
      <c r="S69" s="1">
        <f t="shared" ca="1" si="22"/>
        <v>0</v>
      </c>
      <c r="T69" s="192" t="s">
        <v>216</v>
      </c>
    </row>
    <row r="70" spans="5:20" x14ac:dyDescent="0.15">
      <c r="E70" s="2"/>
      <c r="F70" s="2"/>
      <c r="G70" s="202" t="s">
        <v>212</v>
      </c>
      <c r="H70" s="1">
        <f t="shared" ref="H70:S70" ca="1" si="23">$C$35*H69</f>
        <v>0</v>
      </c>
      <c r="I70" s="1">
        <f t="shared" ca="1" si="23"/>
        <v>0</v>
      </c>
      <c r="J70" s="1">
        <f t="shared" ca="1" si="23"/>
        <v>0</v>
      </c>
      <c r="K70" s="1">
        <f t="shared" ca="1" si="23"/>
        <v>0</v>
      </c>
      <c r="L70" s="1">
        <f t="shared" ca="1" si="23"/>
        <v>0</v>
      </c>
      <c r="M70" s="1">
        <f t="shared" ca="1" si="23"/>
        <v>0</v>
      </c>
      <c r="N70" s="1">
        <f t="shared" ca="1" si="23"/>
        <v>0</v>
      </c>
      <c r="O70" s="1">
        <f t="shared" ca="1" si="23"/>
        <v>0</v>
      </c>
      <c r="P70" s="1">
        <f t="shared" ca="1" si="23"/>
        <v>0</v>
      </c>
      <c r="Q70" s="1">
        <f t="shared" ca="1" si="23"/>
        <v>0</v>
      </c>
      <c r="R70" s="1">
        <f t="shared" ca="1" si="23"/>
        <v>0</v>
      </c>
      <c r="S70" s="1">
        <f t="shared" ca="1" si="23"/>
        <v>0</v>
      </c>
      <c r="T70" s="1">
        <f ca="1">SUM(H70:S70)</f>
        <v>0</v>
      </c>
    </row>
    <row r="71" spans="5:20" x14ac:dyDescent="0.15">
      <c r="E71" s="2"/>
      <c r="F71" s="2"/>
      <c r="G71" s="202" t="s">
        <v>213</v>
      </c>
      <c r="H71" s="1">
        <f t="shared" ref="H71:S71" ca="1" si="24">IF(H69&gt;0,$C$36,0)</f>
        <v>0</v>
      </c>
      <c r="I71" s="1">
        <f t="shared" ca="1" si="24"/>
        <v>0</v>
      </c>
      <c r="J71" s="1">
        <f t="shared" ca="1" si="24"/>
        <v>0</v>
      </c>
      <c r="K71" s="1">
        <f t="shared" ca="1" si="24"/>
        <v>0</v>
      </c>
      <c r="L71" s="1">
        <f t="shared" ca="1" si="24"/>
        <v>0</v>
      </c>
      <c r="M71" s="1">
        <f t="shared" ca="1" si="24"/>
        <v>0</v>
      </c>
      <c r="N71" s="1">
        <f t="shared" ca="1" si="24"/>
        <v>0</v>
      </c>
      <c r="O71" s="1">
        <f t="shared" ca="1" si="24"/>
        <v>0</v>
      </c>
      <c r="P71" s="1">
        <f t="shared" ca="1" si="24"/>
        <v>0</v>
      </c>
      <c r="Q71" s="1">
        <f t="shared" ca="1" si="24"/>
        <v>0</v>
      </c>
      <c r="R71" s="1">
        <f t="shared" ca="1" si="24"/>
        <v>0</v>
      </c>
      <c r="S71" s="1">
        <f t="shared" ca="1" si="24"/>
        <v>0</v>
      </c>
      <c r="T71" s="1">
        <f ca="1">SUM(H71:S71)</f>
        <v>0</v>
      </c>
    </row>
    <row r="74" spans="5:20" x14ac:dyDescent="0.15">
      <c r="G74" s="162"/>
      <c r="H74" s="163" t="s">
        <v>177</v>
      </c>
      <c r="I74" s="163" t="s">
        <v>178</v>
      </c>
      <c r="J74" s="163" t="s">
        <v>179</v>
      </c>
      <c r="K74" s="163" t="s">
        <v>180</v>
      </c>
      <c r="L74" s="163" t="s">
        <v>181</v>
      </c>
      <c r="M74" s="163" t="s">
        <v>182</v>
      </c>
      <c r="N74" s="163" t="s">
        <v>183</v>
      </c>
      <c r="O74" s="163" t="s">
        <v>184</v>
      </c>
      <c r="P74" s="163" t="s">
        <v>185</v>
      </c>
      <c r="Q74" s="163" t="s">
        <v>186</v>
      </c>
      <c r="R74" s="163" t="s">
        <v>187</v>
      </c>
      <c r="S74" s="163" t="s">
        <v>188</v>
      </c>
      <c r="T74" s="163" t="s">
        <v>21</v>
      </c>
    </row>
    <row r="75" spans="5:20" x14ac:dyDescent="0.15">
      <c r="G75" s="1" t="s">
        <v>217</v>
      </c>
      <c r="H75" s="1">
        <f t="shared" ref="H75:S75" ca="1" si="25">H70*$C$37</f>
        <v>0</v>
      </c>
      <c r="I75" s="1">
        <f t="shared" ca="1" si="25"/>
        <v>0</v>
      </c>
      <c r="J75" s="1">
        <f t="shared" ca="1" si="25"/>
        <v>0</v>
      </c>
      <c r="K75" s="1">
        <f t="shared" ca="1" si="25"/>
        <v>0</v>
      </c>
      <c r="L75" s="1">
        <f t="shared" ca="1" si="25"/>
        <v>0</v>
      </c>
      <c r="M75" s="1">
        <f t="shared" ca="1" si="25"/>
        <v>0</v>
      </c>
      <c r="N75" s="1">
        <f t="shared" ca="1" si="25"/>
        <v>0</v>
      </c>
      <c r="O75" s="1">
        <f t="shared" ca="1" si="25"/>
        <v>0</v>
      </c>
      <c r="P75" s="1">
        <f t="shared" ca="1" si="25"/>
        <v>0</v>
      </c>
      <c r="Q75" s="1">
        <f t="shared" ca="1" si="25"/>
        <v>0</v>
      </c>
      <c r="R75" s="1">
        <f t="shared" ca="1" si="25"/>
        <v>0</v>
      </c>
      <c r="S75" s="1">
        <f t="shared" ca="1" si="25"/>
        <v>0</v>
      </c>
      <c r="T75" s="1">
        <f t="shared" ref="T75:T76" ca="1" si="26">SUM(H75:S75)</f>
        <v>0</v>
      </c>
    </row>
    <row r="76" spans="5:20" x14ac:dyDescent="0.15">
      <c r="G76" s="1" t="s">
        <v>218</v>
      </c>
      <c r="H76" s="1">
        <f t="shared" ref="H76:S76" ca="1" si="27">H71*$C$37</f>
        <v>0</v>
      </c>
      <c r="I76" s="1">
        <f t="shared" ca="1" si="27"/>
        <v>0</v>
      </c>
      <c r="J76" s="1">
        <f t="shared" ca="1" si="27"/>
        <v>0</v>
      </c>
      <c r="K76" s="1">
        <f t="shared" ca="1" si="27"/>
        <v>0</v>
      </c>
      <c r="L76" s="1">
        <f t="shared" ca="1" si="27"/>
        <v>0</v>
      </c>
      <c r="M76" s="1">
        <f t="shared" ca="1" si="27"/>
        <v>0</v>
      </c>
      <c r="N76" s="1">
        <f t="shared" ca="1" si="27"/>
        <v>0</v>
      </c>
      <c r="O76" s="1">
        <f t="shared" ca="1" si="27"/>
        <v>0</v>
      </c>
      <c r="P76" s="1">
        <f t="shared" ca="1" si="27"/>
        <v>0</v>
      </c>
      <c r="Q76" s="1">
        <f t="shared" ca="1" si="27"/>
        <v>0</v>
      </c>
      <c r="R76" s="1">
        <f t="shared" ca="1" si="27"/>
        <v>0</v>
      </c>
      <c r="S76" s="1">
        <f t="shared" ca="1" si="27"/>
        <v>0</v>
      </c>
      <c r="T76" s="1">
        <f t="shared" ca="1" si="26"/>
        <v>0</v>
      </c>
    </row>
    <row r="80" spans="5:20" x14ac:dyDescent="0.15">
      <c r="H80" t="s">
        <v>197</v>
      </c>
    </row>
    <row r="81" spans="6:20" x14ac:dyDescent="0.15">
      <c r="G81" s="1"/>
      <c r="H81" s="163" t="s">
        <v>177</v>
      </c>
      <c r="I81" s="163" t="s">
        <v>178</v>
      </c>
      <c r="J81" s="163" t="s">
        <v>179</v>
      </c>
      <c r="K81" s="163" t="s">
        <v>180</v>
      </c>
      <c r="L81" s="163" t="s">
        <v>181</v>
      </c>
      <c r="M81" s="163" t="s">
        <v>182</v>
      </c>
      <c r="N81" s="163" t="s">
        <v>183</v>
      </c>
      <c r="O81" s="163" t="s">
        <v>184</v>
      </c>
      <c r="P81" s="163" t="s">
        <v>185</v>
      </c>
      <c r="Q81" s="163" t="s">
        <v>186</v>
      </c>
      <c r="R81" s="163" t="s">
        <v>187</v>
      </c>
      <c r="S81" s="163" t="s">
        <v>188</v>
      </c>
      <c r="T81" s="163" t="s">
        <v>200</v>
      </c>
    </row>
    <row r="82" spans="6:20" x14ac:dyDescent="0.15">
      <c r="F82" t="s">
        <v>219</v>
      </c>
      <c r="G82" s="1" t="s">
        <v>221</v>
      </c>
      <c r="H82" s="1">
        <f ca="1">SUM(H56:H65,H70:H71)</f>
        <v>0</v>
      </c>
      <c r="I82" s="1">
        <f t="shared" ref="I82:S82" ca="1" si="28">SUM(I56:I65,I70:I71)</f>
        <v>0</v>
      </c>
      <c r="J82" s="1">
        <f t="shared" ca="1" si="28"/>
        <v>0</v>
      </c>
      <c r="K82" s="1">
        <f t="shared" ca="1" si="28"/>
        <v>0</v>
      </c>
      <c r="L82" s="1">
        <f t="shared" ca="1" si="28"/>
        <v>0</v>
      </c>
      <c r="M82" s="1">
        <f t="shared" ca="1" si="28"/>
        <v>0</v>
      </c>
      <c r="N82" s="1">
        <f t="shared" ca="1" si="28"/>
        <v>0</v>
      </c>
      <c r="O82" s="1">
        <f t="shared" ca="1" si="28"/>
        <v>0</v>
      </c>
      <c r="P82" s="1">
        <f t="shared" ca="1" si="28"/>
        <v>0</v>
      </c>
      <c r="Q82" s="1">
        <f t="shared" ca="1" si="28"/>
        <v>0</v>
      </c>
      <c r="R82" s="1">
        <f t="shared" ca="1" si="28"/>
        <v>0</v>
      </c>
      <c r="S82" s="1">
        <f t="shared" ca="1" si="28"/>
        <v>0</v>
      </c>
      <c r="T82" s="1">
        <f ca="1">SUM(H82:S82)</f>
        <v>0</v>
      </c>
    </row>
    <row r="83" spans="6:20" x14ac:dyDescent="0.15">
      <c r="F83" t="s">
        <v>220</v>
      </c>
      <c r="G83" s="1" t="s">
        <v>222</v>
      </c>
      <c r="H83" s="1">
        <f ca="1">SUM(H75:H76)</f>
        <v>0</v>
      </c>
      <c r="I83" s="1">
        <f t="shared" ref="I83:S83" ca="1" si="29">SUM(I75:I76)</f>
        <v>0</v>
      </c>
      <c r="J83" s="1">
        <f t="shared" ca="1" si="29"/>
        <v>0</v>
      </c>
      <c r="K83" s="1">
        <f t="shared" ca="1" si="29"/>
        <v>0</v>
      </c>
      <c r="L83" s="1">
        <f t="shared" ca="1" si="29"/>
        <v>0</v>
      </c>
      <c r="M83" s="1">
        <f t="shared" ca="1" si="29"/>
        <v>0</v>
      </c>
      <c r="N83" s="1">
        <f t="shared" ca="1" si="29"/>
        <v>0</v>
      </c>
      <c r="O83" s="1">
        <f t="shared" ca="1" si="29"/>
        <v>0</v>
      </c>
      <c r="P83" s="1">
        <f t="shared" ca="1" si="29"/>
        <v>0</v>
      </c>
      <c r="Q83" s="1">
        <f t="shared" ca="1" si="29"/>
        <v>0</v>
      </c>
      <c r="R83" s="1">
        <f t="shared" ca="1" si="29"/>
        <v>0</v>
      </c>
      <c r="S83" s="1">
        <f t="shared" ca="1" si="29"/>
        <v>0</v>
      </c>
      <c r="T83" s="1">
        <f ca="1">SUM(H83:S83)</f>
        <v>0</v>
      </c>
    </row>
    <row r="84" spans="6:20" x14ac:dyDescent="0.15">
      <c r="F84" t="s">
        <v>223</v>
      </c>
      <c r="G84" s="1" t="s">
        <v>204</v>
      </c>
      <c r="H84" s="1">
        <f ca="1">H82-H83</f>
        <v>0</v>
      </c>
      <c r="I84" s="1">
        <f t="shared" ref="I84:S84" ca="1" si="30">I82-I83</f>
        <v>0</v>
      </c>
      <c r="J84" s="1">
        <f t="shared" ca="1" si="30"/>
        <v>0</v>
      </c>
      <c r="K84" s="1">
        <f t="shared" ca="1" si="30"/>
        <v>0</v>
      </c>
      <c r="L84" s="1">
        <f t="shared" ca="1" si="30"/>
        <v>0</v>
      </c>
      <c r="M84" s="1">
        <f t="shared" ca="1" si="30"/>
        <v>0</v>
      </c>
      <c r="N84" s="1">
        <f t="shared" ca="1" si="30"/>
        <v>0</v>
      </c>
      <c r="O84" s="1">
        <f t="shared" ca="1" si="30"/>
        <v>0</v>
      </c>
      <c r="P84" s="1">
        <f t="shared" ca="1" si="30"/>
        <v>0</v>
      </c>
      <c r="Q84" s="1">
        <f t="shared" ca="1" si="30"/>
        <v>0</v>
      </c>
      <c r="R84" s="1">
        <f t="shared" ca="1" si="30"/>
        <v>0</v>
      </c>
      <c r="S84" s="1">
        <f t="shared" ca="1" si="30"/>
        <v>0</v>
      </c>
      <c r="T84" s="1">
        <f ca="1">SUM(H84:S84)</f>
        <v>0</v>
      </c>
    </row>
    <row r="85" spans="6:20" ht="14.25" thickBot="1" x14ac:dyDescent="0.2">
      <c r="G85" s="1" t="s">
        <v>198</v>
      </c>
      <c r="H85" s="1">
        <f>税率!$D$6/12</f>
        <v>14166.666666666666</v>
      </c>
      <c r="I85" s="1">
        <f>税率!$D$6/12</f>
        <v>14166.666666666666</v>
      </c>
      <c r="J85" s="1">
        <f>税率!$D$6/12</f>
        <v>14166.666666666666</v>
      </c>
      <c r="K85" s="1">
        <f>税率!$D$6/12</f>
        <v>14166.666666666666</v>
      </c>
      <c r="L85" s="1">
        <f>税率!$D$6/12</f>
        <v>14166.666666666666</v>
      </c>
      <c r="M85" s="1">
        <f>税率!$D$6/12</f>
        <v>14166.666666666666</v>
      </c>
      <c r="N85" s="1">
        <f>税率!$D$6/12</f>
        <v>14166.666666666666</v>
      </c>
      <c r="O85" s="1">
        <f>税率!$D$6/12</f>
        <v>14166.666666666666</v>
      </c>
      <c r="P85" s="1">
        <f>税率!$D$6/12</f>
        <v>14166.666666666666</v>
      </c>
      <c r="Q85" s="1">
        <f>税率!$D$6/12</f>
        <v>14166.666666666666</v>
      </c>
      <c r="R85" s="1">
        <f>税率!$D$6/12</f>
        <v>14166.666666666666</v>
      </c>
      <c r="S85" s="1">
        <f>税率!$D$6/12</f>
        <v>14166.666666666666</v>
      </c>
      <c r="T85" s="193">
        <f>ROUND(SUM(H85:S85),0)</f>
        <v>170000</v>
      </c>
    </row>
    <row r="86" spans="6:20" ht="14.25" thickBot="1" x14ac:dyDescent="0.2">
      <c r="G86" s="1" t="s">
        <v>199</v>
      </c>
      <c r="H86" s="1">
        <f ca="1">MIN(H84:H85)</f>
        <v>0</v>
      </c>
      <c r="I86" s="1">
        <f t="shared" ref="I86:S86" ca="1" si="31">MIN(I84:I85)</f>
        <v>0</v>
      </c>
      <c r="J86" s="1">
        <f t="shared" ca="1" si="31"/>
        <v>0</v>
      </c>
      <c r="K86" s="1">
        <f t="shared" ca="1" si="31"/>
        <v>0</v>
      </c>
      <c r="L86" s="1">
        <f t="shared" ca="1" si="31"/>
        <v>0</v>
      </c>
      <c r="M86" s="1">
        <f t="shared" ca="1" si="31"/>
        <v>0</v>
      </c>
      <c r="N86" s="1">
        <f t="shared" ca="1" si="31"/>
        <v>0</v>
      </c>
      <c r="O86" s="1">
        <f t="shared" ca="1" si="31"/>
        <v>0</v>
      </c>
      <c r="P86" s="1">
        <f t="shared" ca="1" si="31"/>
        <v>0</v>
      </c>
      <c r="Q86" s="1">
        <f t="shared" ca="1" si="31"/>
        <v>0</v>
      </c>
      <c r="R86" s="1">
        <f t="shared" ca="1" si="31"/>
        <v>0</v>
      </c>
      <c r="S86" s="70">
        <f t="shared" ca="1" si="31"/>
        <v>0</v>
      </c>
      <c r="T86" s="195">
        <f ca="1">ROUND(SUM(H86:S86),0)</f>
        <v>0</v>
      </c>
    </row>
    <row r="87" spans="6:20" x14ac:dyDescent="0.15">
      <c r="G87" s="5" t="s">
        <v>201</v>
      </c>
      <c r="H87" s="1">
        <f ca="1">H84-H86</f>
        <v>0</v>
      </c>
      <c r="I87" s="1">
        <f t="shared" ref="I87:S87" ca="1" si="32">I84-I86</f>
        <v>0</v>
      </c>
      <c r="J87" s="1">
        <f t="shared" ca="1" si="32"/>
        <v>0</v>
      </c>
      <c r="K87" s="1">
        <f t="shared" ca="1" si="32"/>
        <v>0</v>
      </c>
      <c r="L87" s="1">
        <f t="shared" ca="1" si="32"/>
        <v>0</v>
      </c>
      <c r="M87" s="1">
        <f t="shared" ca="1" si="32"/>
        <v>0</v>
      </c>
      <c r="N87" s="1">
        <f t="shared" ca="1" si="32"/>
        <v>0</v>
      </c>
      <c r="O87" s="1">
        <f t="shared" ca="1" si="32"/>
        <v>0</v>
      </c>
      <c r="P87" s="1">
        <f t="shared" ca="1" si="32"/>
        <v>0</v>
      </c>
      <c r="Q87" s="1">
        <f t="shared" ca="1" si="32"/>
        <v>0</v>
      </c>
      <c r="R87" s="1">
        <f t="shared" ca="1" si="32"/>
        <v>0</v>
      </c>
      <c r="S87" s="1">
        <f t="shared" ca="1" si="32"/>
        <v>0</v>
      </c>
      <c r="T87" s="194">
        <f ca="1">ROUND(SUM(H87:S87),0)</f>
        <v>0</v>
      </c>
    </row>
    <row r="88" spans="6:20" x14ac:dyDescent="0.15">
      <c r="G88" s="57"/>
    </row>
  </sheetData>
  <mergeCells count="3">
    <mergeCell ref="A17:A28"/>
    <mergeCell ref="A5:A16"/>
    <mergeCell ref="T56:T65"/>
  </mergeCells>
  <phoneticPr fontId="1"/>
  <conditionalFormatting sqref="H43:S52">
    <cfRule type="cellIs" dxfId="0" priority="1" operator="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概算シート</vt:lpstr>
      <vt:lpstr>税率</vt:lpstr>
      <vt:lpstr>軽減説明</vt:lpstr>
      <vt:lpstr>3以後給与・年金所得換算(基礎)</vt:lpstr>
      <vt:lpstr>3以後給与・年金所得換算 (軽減)</vt:lpstr>
      <vt:lpstr>介護2号判定</vt:lpstr>
      <vt:lpstr>概算シート!Print_Area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豊橋市役所</cp:lastModifiedBy>
  <cp:lastPrinted>2024-03-05T02:37:35Z</cp:lastPrinted>
  <dcterms:created xsi:type="dcterms:W3CDTF">2022-09-09T05:35:40Z</dcterms:created>
  <dcterms:modified xsi:type="dcterms:W3CDTF">2024-03-05T04:21:14Z</dcterms:modified>
</cp:coreProperties>
</file>